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iljana.sovilj\Desktop\POSAO\Uredba 2019\Zapisnici Komisije za ugovaranje\Putevi\"/>
    </mc:Choice>
  </mc:AlternateContent>
  <bookViews>
    <workbookView xWindow="0" yWindow="0" windowWidth="12288" windowHeight="5088"/>
  </bookViews>
  <sheets>
    <sheet name="Ostali korisnici " sheetId="1" r:id="rId1"/>
    <sheet name="SRBIJAŠUME 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2" l="1"/>
  <c r="O85" i="2"/>
  <c r="P59" i="1"/>
  <c r="P60" i="1"/>
  <c r="K24" i="1"/>
  <c r="K97" i="1"/>
  <c r="N9" i="1"/>
  <c r="N15" i="1"/>
  <c r="N13" i="1"/>
  <c r="N12" i="1"/>
  <c r="N11" i="1"/>
  <c r="N10" i="1"/>
  <c r="N16" i="1" l="1"/>
  <c r="O86" i="2"/>
  <c r="M85" i="2"/>
  <c r="O84" i="2"/>
  <c r="M84" i="2"/>
  <c r="O83" i="2"/>
  <c r="M83" i="2"/>
  <c r="O82" i="2"/>
  <c r="M82" i="2"/>
  <c r="O81" i="2"/>
  <c r="M81" i="2"/>
  <c r="O80" i="2"/>
  <c r="N77" i="2"/>
  <c r="O77" i="2"/>
  <c r="O76" i="2"/>
  <c r="O75" i="2"/>
  <c r="N75" i="2"/>
  <c r="O74" i="2"/>
  <c r="P73" i="2"/>
  <c r="O73" i="2"/>
  <c r="N73" i="2"/>
  <c r="M73" i="2"/>
  <c r="J73" i="2"/>
  <c r="I73" i="2"/>
  <c r="H73" i="2"/>
  <c r="G73" i="2"/>
  <c r="P72" i="2"/>
  <c r="O72" i="2"/>
  <c r="N72" i="2"/>
  <c r="M72" i="2"/>
  <c r="I72" i="2"/>
  <c r="E72" i="2"/>
  <c r="P71" i="2"/>
  <c r="O71" i="2"/>
  <c r="P70" i="2"/>
  <c r="O70" i="2"/>
  <c r="N70" i="2"/>
  <c r="M70" i="2"/>
  <c r="I70" i="2"/>
  <c r="E70" i="2"/>
  <c r="P69" i="2"/>
  <c r="O69" i="2"/>
  <c r="P68" i="2"/>
  <c r="O68" i="2"/>
  <c r="N68" i="2"/>
  <c r="M68" i="2"/>
  <c r="I68" i="2"/>
  <c r="E68" i="2"/>
  <c r="P67" i="2"/>
  <c r="O67" i="2"/>
  <c r="P66" i="2"/>
  <c r="O66" i="2"/>
  <c r="P65" i="2"/>
  <c r="O65" i="2"/>
  <c r="N65" i="2"/>
  <c r="M65" i="2"/>
  <c r="I65" i="2"/>
  <c r="E65" i="2"/>
  <c r="P64" i="2"/>
  <c r="P63" i="2"/>
  <c r="O63" i="2"/>
  <c r="P62" i="2"/>
  <c r="O62" i="2"/>
  <c r="P61" i="2"/>
  <c r="O61" i="2"/>
  <c r="N61" i="2"/>
  <c r="M61" i="2"/>
  <c r="I61" i="2"/>
  <c r="H61" i="2"/>
  <c r="E61" i="2"/>
  <c r="P60" i="2"/>
  <c r="P59" i="2"/>
  <c r="P58" i="2"/>
  <c r="P57" i="2"/>
  <c r="P56" i="2"/>
  <c r="P55" i="2"/>
  <c r="O55" i="2"/>
  <c r="P54" i="2"/>
  <c r="O54" i="2"/>
  <c r="P53" i="2"/>
  <c r="O53" i="2"/>
  <c r="P52" i="2"/>
  <c r="O52" i="2"/>
  <c r="N52" i="2"/>
  <c r="M52" i="2"/>
  <c r="I52" i="2"/>
  <c r="E52" i="2"/>
  <c r="P51" i="2"/>
  <c r="P50" i="2"/>
  <c r="P49" i="2"/>
  <c r="P48" i="2"/>
  <c r="P47" i="2"/>
  <c r="O47" i="2"/>
  <c r="P46" i="2"/>
  <c r="O46" i="2"/>
  <c r="P45" i="2"/>
  <c r="O45" i="2"/>
  <c r="N45" i="2"/>
  <c r="M45" i="2"/>
  <c r="J45" i="2"/>
  <c r="H45" i="2"/>
  <c r="G45" i="2"/>
  <c r="E45" i="2"/>
  <c r="P44" i="2"/>
  <c r="O44" i="2"/>
  <c r="P43" i="2"/>
  <c r="P42" i="2"/>
  <c r="O42" i="2"/>
  <c r="P41" i="2"/>
  <c r="O41" i="2"/>
  <c r="P40" i="2"/>
  <c r="O40" i="2"/>
  <c r="N40" i="2"/>
  <c r="M40" i="2"/>
  <c r="I40" i="2"/>
  <c r="E40" i="2"/>
  <c r="P39" i="2"/>
  <c r="O39" i="2"/>
  <c r="P38" i="2"/>
  <c r="O38" i="2"/>
  <c r="N38" i="2"/>
  <c r="P37" i="2"/>
  <c r="O37" i="2"/>
  <c r="P36" i="2"/>
  <c r="O36" i="2"/>
  <c r="N36" i="2"/>
  <c r="M36" i="2"/>
  <c r="I36" i="2"/>
  <c r="H36" i="2"/>
  <c r="E36" i="2"/>
  <c r="P35" i="2"/>
  <c r="O35" i="2"/>
  <c r="P34" i="2"/>
  <c r="O34" i="2"/>
  <c r="P33" i="2"/>
  <c r="O33" i="2"/>
  <c r="N33" i="2"/>
  <c r="M33" i="2"/>
  <c r="I33" i="2"/>
  <c r="E33" i="2"/>
  <c r="P32" i="2"/>
  <c r="P31" i="2"/>
  <c r="P30" i="2"/>
  <c r="O30" i="2"/>
  <c r="P29" i="2"/>
  <c r="O29" i="2"/>
  <c r="P28" i="2"/>
  <c r="O28" i="2"/>
  <c r="N28" i="2"/>
  <c r="M28" i="2"/>
  <c r="I28" i="2"/>
  <c r="H28" i="2"/>
  <c r="E28" i="2"/>
  <c r="P27" i="2"/>
  <c r="O27" i="2"/>
  <c r="P26" i="2"/>
  <c r="O26" i="2"/>
  <c r="P25" i="2"/>
  <c r="O25" i="2"/>
  <c r="P24" i="2"/>
  <c r="O24" i="2"/>
  <c r="N24" i="2"/>
  <c r="M24" i="2"/>
  <c r="I24" i="2"/>
  <c r="H24" i="2"/>
  <c r="G24" i="2"/>
  <c r="E24" i="2"/>
  <c r="P23" i="2"/>
  <c r="P22" i="2"/>
  <c r="O22" i="2"/>
  <c r="P21" i="2"/>
  <c r="O21" i="2"/>
  <c r="P20" i="2"/>
  <c r="O20" i="2"/>
  <c r="N20" i="2"/>
  <c r="M20" i="2"/>
  <c r="I20" i="2"/>
  <c r="E20" i="2"/>
  <c r="P19" i="2"/>
  <c r="O19" i="2"/>
  <c r="P18" i="2"/>
  <c r="P17" i="2"/>
  <c r="O17" i="2"/>
  <c r="N17" i="2"/>
  <c r="M17" i="2"/>
  <c r="J17" i="2"/>
  <c r="I17" i="2"/>
  <c r="H17" i="2"/>
  <c r="E17" i="2"/>
  <c r="P16" i="2"/>
  <c r="O16" i="2"/>
  <c r="P15" i="2"/>
  <c r="O15" i="2"/>
  <c r="P14" i="2"/>
  <c r="P13" i="2"/>
  <c r="O13" i="2"/>
  <c r="N13" i="2"/>
  <c r="M13" i="2"/>
  <c r="H13" i="2"/>
  <c r="G13" i="2"/>
  <c r="E13" i="2"/>
  <c r="P12" i="2"/>
  <c r="P11" i="2"/>
  <c r="P10" i="2"/>
  <c r="O10" i="2"/>
  <c r="P9" i="2"/>
  <c r="O9" i="2"/>
  <c r="P8" i="2"/>
  <c r="O8" i="2"/>
  <c r="P7" i="2"/>
  <c r="O7" i="2"/>
  <c r="N7" i="2"/>
  <c r="M7" i="2"/>
  <c r="H7" i="2"/>
  <c r="E7" i="2"/>
  <c r="P6" i="2"/>
  <c r="O6" i="2"/>
  <c r="P5" i="2"/>
  <c r="O5" i="2"/>
  <c r="I133" i="1"/>
  <c r="N123" i="1"/>
  <c r="M123" i="1"/>
  <c r="P116" i="1"/>
  <c r="N113" i="1"/>
  <c r="P112" i="1"/>
  <c r="P111" i="1"/>
  <c r="P110" i="1"/>
  <c r="P109" i="1"/>
  <c r="P107" i="1"/>
  <c r="N101" i="1"/>
  <c r="M101" i="1" s="1"/>
  <c r="O101" i="1" s="1"/>
  <c r="L101" i="1"/>
  <c r="N100" i="1"/>
  <c r="P100" i="1" s="1"/>
  <c r="P102" i="1" s="1"/>
  <c r="L100" i="1"/>
  <c r="A100" i="1"/>
  <c r="H95" i="1"/>
  <c r="I95" i="1" s="1"/>
  <c r="H94" i="1"/>
  <c r="L86" i="1"/>
  <c r="I86" i="1"/>
  <c r="H86" i="1"/>
  <c r="P85" i="1"/>
  <c r="N85" i="1"/>
  <c r="O85" i="1" s="1"/>
  <c r="N84" i="1"/>
  <c r="P84" i="1" s="1"/>
  <c r="M84" i="1"/>
  <c r="N83" i="1"/>
  <c r="P83" i="1" s="1"/>
  <c r="M83" i="1"/>
  <c r="P82" i="1"/>
  <c r="N82" i="1"/>
  <c r="P80" i="1"/>
  <c r="M80" i="1"/>
  <c r="L80" i="1"/>
  <c r="I80" i="1"/>
  <c r="H80" i="1"/>
  <c r="G80" i="1"/>
  <c r="E80" i="1"/>
  <c r="N79" i="1"/>
  <c r="O79" i="1" s="1"/>
  <c r="N78" i="1"/>
  <c r="O78" i="1" s="1"/>
  <c r="N77" i="1"/>
  <c r="O77" i="1" s="1"/>
  <c r="N76" i="1"/>
  <c r="O76" i="1" s="1"/>
  <c r="N75" i="1"/>
  <c r="P73" i="1"/>
  <c r="L73" i="1"/>
  <c r="I73" i="1"/>
  <c r="H73" i="1"/>
  <c r="G73" i="1"/>
  <c r="E73" i="1"/>
  <c r="N72" i="1"/>
  <c r="O72" i="1" s="1"/>
  <c r="N71" i="1"/>
  <c r="M71" i="1"/>
  <c r="N70" i="1"/>
  <c r="M70" i="1"/>
  <c r="O70" i="1" s="1"/>
  <c r="N69" i="1"/>
  <c r="M69" i="1"/>
  <c r="E67" i="1"/>
  <c r="I66" i="1"/>
  <c r="N66" i="1" s="1"/>
  <c r="M66" i="1" s="1"/>
  <c r="O66" i="1" s="1"/>
  <c r="L65" i="1"/>
  <c r="I65" i="1"/>
  <c r="N65" i="1" s="1"/>
  <c r="M65" i="1" s="1"/>
  <c r="O65" i="1" s="1"/>
  <c r="L64" i="1"/>
  <c r="I64" i="1"/>
  <c r="H64" i="1" s="1"/>
  <c r="N64" i="1" s="1"/>
  <c r="L63" i="1"/>
  <c r="I63" i="1"/>
  <c r="H63" i="1" s="1"/>
  <c r="L61" i="1"/>
  <c r="N57" i="1"/>
  <c r="M57" i="1"/>
  <c r="N56" i="1"/>
  <c r="M56" i="1"/>
  <c r="N55" i="1"/>
  <c r="P55" i="1" s="1"/>
  <c r="M55" i="1"/>
  <c r="N54" i="1"/>
  <c r="N52" i="1"/>
  <c r="P49" i="1"/>
  <c r="P46" i="1"/>
  <c r="P42" i="1"/>
  <c r="M42" i="1"/>
  <c r="O41" i="1"/>
  <c r="O42" i="1" s="1"/>
  <c r="P39" i="1"/>
  <c r="P34" i="1"/>
  <c r="P36" i="1" s="1"/>
  <c r="P32" i="1"/>
  <c r="P29" i="1"/>
  <c r="P16" i="1"/>
  <c r="P6" i="1"/>
  <c r="O54" i="1" l="1"/>
  <c r="P54" i="1"/>
  <c r="P61" i="1" s="1"/>
  <c r="O84" i="1"/>
  <c r="O55" i="1"/>
  <c r="N63" i="1"/>
  <c r="P63" i="1" s="1"/>
  <c r="P67" i="1" s="1"/>
  <c r="N86" i="1"/>
  <c r="H97" i="1"/>
  <c r="H67" i="1"/>
  <c r="O56" i="1"/>
  <c r="N73" i="1"/>
  <c r="O57" i="1"/>
  <c r="M86" i="1"/>
  <c r="P113" i="1"/>
  <c r="O71" i="1"/>
  <c r="P86" i="1"/>
  <c r="N80" i="1"/>
  <c r="I67" i="1"/>
  <c r="O75" i="1"/>
  <c r="O80" i="1" s="1"/>
  <c r="M64" i="1"/>
  <c r="N67" i="1"/>
  <c r="O73" i="1"/>
  <c r="L66" i="1"/>
  <c r="N61" i="1"/>
  <c r="M100" i="1"/>
  <c r="M61" i="1"/>
  <c r="M73" i="1"/>
  <c r="I94" i="1"/>
  <c r="I97" i="1" s="1"/>
  <c r="N102" i="1"/>
  <c r="M63" i="1" l="1"/>
  <c r="O63" i="1" s="1"/>
  <c r="O61" i="1"/>
  <c r="O100" i="1"/>
  <c r="M102" i="1"/>
  <c r="O64" i="1"/>
  <c r="M67" i="1" l="1"/>
  <c r="O52" i="1" l="1"/>
  <c r="M52" i="1"/>
</calcChain>
</file>

<file path=xl/sharedStrings.xml><?xml version="1.0" encoding="utf-8"?>
<sst xmlns="http://schemas.openxmlformats.org/spreadsheetml/2006/main" count="710" uniqueCount="447">
  <si>
    <t>Подносилац захтева</t>
  </si>
  <si>
    <t>Шумско Газдинство</t>
  </si>
  <si>
    <t>Општина</t>
  </si>
  <si>
    <t>Газдинска јединица</t>
  </si>
  <si>
    <t>Назив путног правца</t>
  </si>
  <si>
    <t>Дужина пута</t>
  </si>
  <si>
    <t xml:space="preserve"> Фаза градње                                (km)</t>
  </si>
  <si>
    <t>Реконструкција шумског пута  (km)</t>
  </si>
  <si>
    <t>Санација шумског пута</t>
  </si>
  <si>
    <t xml:space="preserve">Стационажа за градњу, реконструкцију, санацију </t>
  </si>
  <si>
    <t>Дужина за градњу, реконструкцију, санацију</t>
  </si>
  <si>
    <t xml:space="preserve">Извор средстава </t>
  </si>
  <si>
    <t xml:space="preserve">Укупни трошкови </t>
  </si>
  <si>
    <t xml:space="preserve">Укупна средства буџета </t>
  </si>
  <si>
    <t xml:space="preserve">Учешће корисника </t>
  </si>
  <si>
    <t>km</t>
  </si>
  <si>
    <t>I</t>
  </si>
  <si>
    <t>II</t>
  </si>
  <si>
    <t>I+II</t>
  </si>
  <si>
    <t>din</t>
  </si>
  <si>
    <t>У.П.Ш Зарожје</t>
  </si>
  <si>
    <t>Б.Башта</t>
  </si>
  <si>
    <t>Косићи-Дебело Брдо</t>
  </si>
  <si>
    <t>0+000-1+610</t>
  </si>
  <si>
    <t>0,000,00</t>
  </si>
  <si>
    <t>Укупно:</t>
  </si>
  <si>
    <t>У.П.Ш ЗАОВИНЕ</t>
  </si>
  <si>
    <t>К.О Коњска Река</t>
  </si>
  <si>
    <t>Метаљка-Чајчић</t>
  </si>
  <si>
    <t>0+000-0+454</t>
  </si>
  <si>
    <t>0.000,00</t>
  </si>
  <si>
    <t>Секулић-Релеј</t>
  </si>
  <si>
    <t>0+000-0+630</t>
  </si>
  <si>
    <t>К.О Заовине</t>
  </si>
  <si>
    <t>Н.Преседо-Баре</t>
  </si>
  <si>
    <t>0+000-2+869</t>
  </si>
  <si>
    <t>0+000-2+215</t>
  </si>
  <si>
    <t>К.О Бесеровина</t>
  </si>
  <si>
    <t>0+000-0+604</t>
  </si>
  <si>
    <t>Трифковићи-Луке</t>
  </si>
  <si>
    <t>0+000-1+658</t>
  </si>
  <si>
    <t>Борје-Ливадица</t>
  </si>
  <si>
    <t>0+000-0+500</t>
  </si>
  <si>
    <t>Табела 22</t>
  </si>
  <si>
    <t>ГРАДЊА МОСТА НА ТРАСИ ШУМСКОГ ПУТА -пролеће 2019.године</t>
  </si>
  <si>
    <t xml:space="preserve">Стационажа почетка моста </t>
  </si>
  <si>
    <t xml:space="preserve">Дужина моста </t>
  </si>
  <si>
    <t xml:space="preserve">Распон моста </t>
  </si>
  <si>
    <t>m</t>
  </si>
  <si>
    <t>У.П.Ш Заовине</t>
  </si>
  <si>
    <t>Бајина Башта</t>
  </si>
  <si>
    <t>К.О.Заовине</t>
  </si>
  <si>
    <t>1+327</t>
  </si>
  <si>
    <t>770.000,00</t>
  </si>
  <si>
    <t xml:space="preserve">У.В.Ш и домаћина "Растиште" </t>
  </si>
  <si>
    <t>Чемеришта-Алуга</t>
  </si>
  <si>
    <t>0+000-2+162</t>
  </si>
  <si>
    <t>Гурушевац-Челина</t>
  </si>
  <si>
    <t>0+000-0,844</t>
  </si>
  <si>
    <t>Форнет доо</t>
  </si>
  <si>
    <t>Деспотовац</t>
  </si>
  <si>
    <t>Манасија 3-Клочаница</t>
  </si>
  <si>
    <t>Клочаница 2</t>
  </si>
  <si>
    <t>0.000-4.034</t>
  </si>
  <si>
    <t>Црквене шуме епархије шумадијске доо Крагујевац</t>
  </si>
  <si>
    <t>Јагодина</t>
  </si>
  <si>
    <t>Јошаница</t>
  </si>
  <si>
    <t>Каменолом-Јошаничка река</t>
  </si>
  <si>
    <t>0+00-1+293,00</t>
  </si>
  <si>
    <t>Јошаничка река</t>
  </si>
  <si>
    <t>0+00-3+670,00</t>
  </si>
  <si>
    <t>Лозница</t>
  </si>
  <si>
    <t>Троноша МШ</t>
  </si>
  <si>
    <t>Чесменски поток</t>
  </si>
  <si>
    <t>0+806,00</t>
  </si>
  <si>
    <t>ЈП "Национални парк Копаоник"</t>
  </si>
  <si>
    <t>Рашка</t>
  </si>
  <si>
    <t>"Барска река"</t>
  </si>
  <si>
    <t>"Јеленина раван - Лађиште"</t>
  </si>
  <si>
    <t>0+00 - 3+15</t>
  </si>
  <si>
    <t>Црна река</t>
  </si>
  <si>
    <t>Врба-Поток Алмаре</t>
  </si>
  <si>
    <t>0+000 - 3+809</t>
  </si>
  <si>
    <t>Крак Фунзар- Јеленов П</t>
  </si>
  <si>
    <t>0+000 - 3+942</t>
  </si>
  <si>
    <t>УВШ "ШУМЕ ХОМОЉА"</t>
  </si>
  <si>
    <t>КУЧЕВО</t>
  </si>
  <si>
    <t>КАОНА-МУСТАПИЋ-МИШЉЕНОВАЦ</t>
  </si>
  <si>
    <t>9+632,49</t>
  </si>
  <si>
    <t>Црни Врх</t>
  </si>
  <si>
    <t>"Омарско врело-Средњи поток"</t>
  </si>
  <si>
    <t>0+000 - 0+670</t>
  </si>
  <si>
    <t>Табела 13:</t>
  </si>
  <si>
    <t>ГРАДЊА МОСТА НА ТРАСИ ШУМСКОГ ПУТА</t>
  </si>
  <si>
    <t>"Омарско Врело-Средњи поток"</t>
  </si>
  <si>
    <t>укупно</t>
  </si>
  <si>
    <t>Јелова гора - Јанковићи</t>
  </si>
  <si>
    <t>0+000 - 4+050</t>
  </si>
  <si>
    <t>Приседо - Кондер</t>
  </si>
  <si>
    <t>0+000 - 1+571</t>
  </si>
  <si>
    <t>Вучија раван-Обовац</t>
  </si>
  <si>
    <t>0+000 - 1+477</t>
  </si>
  <si>
    <t>1+477 - 2+556</t>
  </si>
  <si>
    <t>Осечина</t>
  </si>
  <si>
    <t>КО Царина</t>
  </si>
  <si>
    <t>Шипљ. река-Јасенов поток</t>
  </si>
  <si>
    <t>0+000-2+450</t>
  </si>
  <si>
    <t>УПШВ "Црвена стена"</t>
  </si>
  <si>
    <t>КО Злодол КО Пилица</t>
  </si>
  <si>
    <t>Поникве-Марјановића брдо</t>
  </si>
  <si>
    <t>рк 0+000-0+508
гр 0+508-1+220 
рк 1+220-1+490
гр 1+490-2+261</t>
  </si>
  <si>
    <t>КО Гвоздац</t>
  </si>
  <si>
    <t>Дубрашница-Шашиновци</t>
  </si>
  <si>
    <t>гр 0+000-0+444
рк 0+444-0+750
гр 0+750-1+750</t>
  </si>
  <si>
    <t>КО Горње Зарожје</t>
  </si>
  <si>
    <t>Голићи-Годечево</t>
  </si>
  <si>
    <t>рк 0+000-2+544</t>
  </si>
  <si>
    <t>КО Доње Зарожје</t>
  </si>
  <si>
    <t>Јагодићи-Потоци</t>
  </si>
  <si>
    <t>рк 0+000-1+097</t>
  </si>
  <si>
    <t>Јасиковице - Поље</t>
  </si>
  <si>
    <t>0+000 - 1+473</t>
  </si>
  <si>
    <t>Јасиковице - Врановина</t>
  </si>
  <si>
    <t>0+000 - 2+400</t>
  </si>
  <si>
    <t>Котарска главица - Приседо</t>
  </si>
  <si>
    <t>0+000 - 0+872</t>
  </si>
  <si>
    <t>Филиповићи - Јовановићи</t>
  </si>
  <si>
    <t>0+000 - 1+320</t>
  </si>
  <si>
    <t>Мала река - Саставци</t>
  </si>
  <si>
    <t>0+000 - 2+410</t>
  </si>
  <si>
    <t>Присади - Пратњаче</t>
  </si>
  <si>
    <t>0+000 - 0+905</t>
  </si>
  <si>
    <t>Баре - Забрињача</t>
  </si>
  <si>
    <t>0+000 - 2+610</t>
  </si>
  <si>
    <t>Радавске гробнице - Ракићи</t>
  </si>
  <si>
    <t>0+000 - 1+470</t>
  </si>
  <si>
    <t>Корита - Гробнице</t>
  </si>
  <si>
    <t>0+000 - 2+130</t>
  </si>
  <si>
    <t>Кучево</t>
  </si>
  <si>
    <t>Вaља Маре</t>
  </si>
  <si>
    <t>2+500 - 6+665</t>
  </si>
  <si>
    <t>Ваља Кариби</t>
  </si>
  <si>
    <t>0+000 - 0+662</t>
  </si>
  <si>
    <t>0+662 - 2+418</t>
  </si>
  <si>
    <t>2+418 - 2+649</t>
  </si>
  <si>
    <t>0+013,00</t>
  </si>
  <si>
    <t>Ваља Маре</t>
  </si>
  <si>
    <t>4+064,00</t>
  </si>
  <si>
    <t>Прибој</t>
  </si>
  <si>
    <t>КО Прибојске челице</t>
  </si>
  <si>
    <t>Бистрица-
Под Оштрик</t>
  </si>
  <si>
    <t>гр 0+000-2+650</t>
  </si>
  <si>
    <t>Чајетина</t>
  </si>
  <si>
    <t>КО Семегњево</t>
  </si>
  <si>
    <t>Тошанића капија-Савино брдо</t>
  </si>
  <si>
    <t>гр 0+000-2+290</t>
  </si>
  <si>
    <t>Бољевац</t>
  </si>
  <si>
    <t>Мали Извор- Брезовица</t>
  </si>
  <si>
    <t>-</t>
  </si>
  <si>
    <t>Петровац на Млави</t>
  </si>
  <si>
    <t>Везичево-Дрењар</t>
  </si>
  <si>
    <t>0+000,00 - 2+562,00</t>
  </si>
  <si>
    <t>2+562,00 - 7+855,00</t>
  </si>
  <si>
    <t>Ковиљарац-Дрењар</t>
  </si>
  <si>
    <t>0+000,00 - 0+393,00</t>
  </si>
  <si>
    <t>0+393,00 - 0+994,00</t>
  </si>
  <si>
    <t>Ћовдин-Дрењар</t>
  </si>
  <si>
    <t>0+000,00 - 2+674,00 3+351,00 - 4+295,00</t>
  </si>
  <si>
    <t>2+674,00 - 3+351,00 4+295,00 - 6+024,00</t>
  </si>
  <si>
    <t>УВШ ШУМСКА ПЕРСПЕКТИВА</t>
  </si>
  <si>
    <t>Брезовица-Зебац</t>
  </si>
  <si>
    <t>0+937,06</t>
  </si>
  <si>
    <t>Удружење Власника Шума “Жагубица”</t>
  </si>
  <si>
    <t>Жагубица</t>
  </si>
  <si>
    <t>Лазница село</t>
  </si>
  <si>
    <t>Селиште – Потајница</t>
  </si>
  <si>
    <t>3+009.53</t>
  </si>
  <si>
    <t>7.004.514.58</t>
  </si>
  <si>
    <t>6.620.966</t>
  </si>
  <si>
    <t>383.548.58</t>
  </si>
  <si>
    <t>Богатић</t>
  </si>
  <si>
    <t>КО Црна Бара</t>
  </si>
  <si>
    <t>Банов брод-Јалија</t>
  </si>
  <si>
    <t>0+000-4+490</t>
  </si>
  <si>
    <t>КО Богатић</t>
  </si>
  <si>
    <t>Јовића поље-Мајдан</t>
  </si>
  <si>
    <t>0+000-2+080</t>
  </si>
  <si>
    <t>ШГ</t>
  </si>
  <si>
    <t xml:space="preserve"> Фаза градње                                                             (km)</t>
  </si>
  <si>
    <t>Реконструкција шумског пута              (km)</t>
  </si>
  <si>
    <t>Санација шумског пута (km)</t>
  </si>
  <si>
    <t>Стационажа за градњу, реконструкцију</t>
  </si>
  <si>
    <t>Дужина за градњу, реконструкцију</t>
  </si>
  <si>
    <t>Вредност градње</t>
  </si>
  <si>
    <t>Буџетска средства</t>
  </si>
  <si>
    <t>Учешће корисника</t>
  </si>
  <si>
    <t>од</t>
  </si>
  <si>
    <t>до</t>
  </si>
  <si>
    <t>РСД</t>
  </si>
  <si>
    <t>„Северни Кучај”, Кучево</t>
  </si>
  <si>
    <t>Бродица I</t>
  </si>
  <si>
    <t>Ваља Ре</t>
  </si>
  <si>
    <t>0+000</t>
  </si>
  <si>
    <t>2+609</t>
  </si>
  <si>
    <t>Мајданпек</t>
  </si>
  <si>
    <t xml:space="preserve">Равна река II </t>
  </si>
  <si>
    <t>Равна река - Огашу Скорца</t>
  </si>
  <si>
    <t>3+316</t>
  </si>
  <si>
    <t>У К У П Н О</t>
  </si>
  <si>
    <t>„Тимочке шуме”, Бољевац</t>
  </si>
  <si>
    <t>Честобродица</t>
  </si>
  <si>
    <t>Чокот - Дубоки поток</t>
  </si>
  <si>
    <t>2+540</t>
  </si>
  <si>
    <t>Бор</t>
  </si>
  <si>
    <t>Дели Јован 1</t>
  </si>
  <si>
    <t>Цупањи - Барака</t>
  </si>
  <si>
    <t>1+950</t>
  </si>
  <si>
    <t>3+573</t>
  </si>
  <si>
    <t>Дубоки поток - Лопушањски поток</t>
  </si>
  <si>
    <t>3+056</t>
  </si>
  <si>
    <t>Злотске шуме</t>
  </si>
  <si>
    <t>Вркану ку појана - Лаку рош</t>
  </si>
  <si>
    <t>2+415</t>
  </si>
  <si>
    <t>Ртањ</t>
  </si>
  <si>
    <t>Широка падина - Слани поток</t>
  </si>
  <si>
    <t>1+921</t>
  </si>
  <si>
    <t>„Јужни Кучај”, Деспотовац</t>
  </si>
  <si>
    <t>Параћин</t>
  </si>
  <si>
    <t>Јаворак</t>
  </si>
  <si>
    <t>Торовиште - Копривино брдо</t>
  </si>
  <si>
    <t>2+484</t>
  </si>
  <si>
    <t xml:space="preserve">Јагодина </t>
  </si>
  <si>
    <t>Јухор I</t>
  </si>
  <si>
    <t>Беочић - Бела Грача - Змајевица</t>
  </si>
  <si>
    <t>2+909</t>
  </si>
  <si>
    <t>Копривино брдо-пут Маркова бара-Троглан баре</t>
  </si>
  <si>
    <t>3+690</t>
  </si>
  <si>
    <t>„Крагујевац”, Крагујевац</t>
  </si>
  <si>
    <t>Топола</t>
  </si>
  <si>
    <t>Рудник 1</t>
  </si>
  <si>
    <t>Благовештење - Росића ливаде - Јерменовачка река</t>
  </si>
  <si>
    <t>8+201</t>
  </si>
  <si>
    <t>Аранђело-вац</t>
  </si>
  <si>
    <t>Букуља</t>
  </si>
  <si>
    <t>Ловачки дом - Милојковача</t>
  </si>
  <si>
    <t>2+200</t>
  </si>
  <si>
    <t>„Борања”, Лозница</t>
  </si>
  <si>
    <t>Цер - Видојевица</t>
  </si>
  <si>
    <t>Бесегач - оде.98/99 - Детињи поток</t>
  </si>
  <si>
    <t>1+700</t>
  </si>
  <si>
    <t>5+785</t>
  </si>
  <si>
    <t>Луке-Кумовац-Липова вода-Текериш</t>
  </si>
  <si>
    <t>2+901</t>
  </si>
  <si>
    <t>7+850</t>
  </si>
  <si>
    <t>Церичка коса - одељ.210/209</t>
  </si>
  <si>
    <t>1+192</t>
  </si>
  <si>
    <t>„Ужице”, Ужице</t>
  </si>
  <si>
    <t>Муртеница</t>
  </si>
  <si>
    <t>Барачица - Коњски тор</t>
  </si>
  <si>
    <t>1+538</t>
  </si>
  <si>
    <t>Ужице</t>
  </si>
  <si>
    <t>Мокра гора - Кршање</t>
  </si>
  <si>
    <t>Шарци - Турско брдо</t>
  </si>
  <si>
    <t>0+661</t>
  </si>
  <si>
    <t>Турско брдо - Крстаче</t>
  </si>
  <si>
    <t>1+797</t>
  </si>
  <si>
    <t>„Пријепоље”, Пријепоље</t>
  </si>
  <si>
    <t>Пријепоље</t>
  </si>
  <si>
    <t>Црни врх - Камена гора</t>
  </si>
  <si>
    <t>Сади - Петња</t>
  </si>
  <si>
    <t>3+320</t>
  </si>
  <si>
    <t>Јаворје</t>
  </si>
  <si>
    <t>Прениш - Вашариште</t>
  </si>
  <si>
    <t>5+380</t>
  </si>
  <si>
    <t>Нова Варош</t>
  </si>
  <si>
    <t>Босање</t>
  </si>
  <si>
    <t>Игралиште-Градна станица</t>
  </si>
  <si>
    <t>1+246</t>
  </si>
  <si>
    <t>Градна станица - Златарско језеро</t>
  </si>
  <si>
    <t>3+334</t>
  </si>
  <si>
    <t>„Голија”, Ивањица</t>
  </si>
  <si>
    <t>Ивањица</t>
  </si>
  <si>
    <t>Бисер вода -Црни врх- ра.</t>
  </si>
  <si>
    <t>Црна река - Филипова раван-Угљари</t>
  </si>
  <si>
    <t>4+210</t>
  </si>
  <si>
    <t>Сијеница</t>
  </si>
  <si>
    <t>Цмиљевац -Букова глава I</t>
  </si>
  <si>
    <t>Градац - Смиљевац</t>
  </si>
  <si>
    <t>2+820</t>
  </si>
  <si>
    <t>„Шумарство” Рашка</t>
  </si>
  <si>
    <t>Тутин</t>
  </si>
  <si>
    <t>Мојстирске шуме</t>
  </si>
  <si>
    <t>Раздоље - Велика Пољана</t>
  </si>
  <si>
    <t>4+823</t>
  </si>
  <si>
    <t>Бисер вода - Врањевац</t>
  </si>
  <si>
    <t>Кути - Цуревац</t>
  </si>
  <si>
    <t>3+086</t>
  </si>
  <si>
    <t>Терзијан - Раздоље</t>
  </si>
  <si>
    <t>2+025</t>
  </si>
  <si>
    <t>„Столови”, Краљево</t>
  </si>
  <si>
    <t>Краљево</t>
  </si>
  <si>
    <t>Ђаковачке планине</t>
  </si>
  <si>
    <r>
      <t xml:space="preserve">Петинац - Рисовац </t>
    </r>
    <r>
      <rPr>
        <sz val="9"/>
        <color indexed="8"/>
        <rFont val="Times New Roman"/>
        <family val="1"/>
      </rPr>
      <t>(27-32 одел.)</t>
    </r>
  </si>
  <si>
    <t>Троглав - Дубочица</t>
  </si>
  <si>
    <t>Петинац - 17 одељење</t>
  </si>
  <si>
    <t>0+858</t>
  </si>
  <si>
    <t>Жељин</t>
  </si>
  <si>
    <t>Велика ливада - 16 одељење</t>
  </si>
  <si>
    <t>1+780</t>
  </si>
  <si>
    <t>Гледићке шуме</t>
  </si>
  <si>
    <t>Пирамиде - Мачковље</t>
  </si>
  <si>
    <t>3+050</t>
  </si>
  <si>
    <t>„Расина”, Крушевац</t>
  </si>
  <si>
    <t>Крушевац</t>
  </si>
  <si>
    <t>Јабланичка река</t>
  </si>
  <si>
    <t>Јабланичка река - Велика река</t>
  </si>
  <si>
    <t>0+490</t>
  </si>
  <si>
    <t>4+362</t>
  </si>
  <si>
    <t>Велика река - Десна река</t>
  </si>
  <si>
    <t>1+849</t>
  </si>
  <si>
    <t>Петинска река</t>
  </si>
  <si>
    <t>Сеземча</t>
  </si>
  <si>
    <t>2+608</t>
  </si>
  <si>
    <t>Ражањ</t>
  </si>
  <si>
    <t>Буковик II</t>
  </si>
  <si>
    <t>Велика река - 22/23 оделење</t>
  </si>
  <si>
    <t>2+008</t>
  </si>
  <si>
    <t>Срндаљска река</t>
  </si>
  <si>
    <t>Саставци - Ћилимка</t>
  </si>
  <si>
    <t>1+177</t>
  </si>
  <si>
    <t>Срндаље - Саставци</t>
  </si>
  <si>
    <t>4+314</t>
  </si>
  <si>
    <t>„Топлица”, Куршумлија</t>
  </si>
  <si>
    <t>Прокупље</t>
  </si>
  <si>
    <t>Велики Јастребац Прокупачки</t>
  </si>
  <si>
    <t>Криви пут-Градац-Кожовска река-Рашевац</t>
  </si>
  <si>
    <t>3+020</t>
  </si>
  <si>
    <t>Куршумлија</t>
  </si>
  <si>
    <t>Слепи Јелак</t>
  </si>
  <si>
    <t>Долина Раичке реке</t>
  </si>
  <si>
    <t>4+200</t>
  </si>
  <si>
    <t>Добри До</t>
  </si>
  <si>
    <t>Добри До-Трмска река-Пунишин поток</t>
  </si>
  <si>
    <t>2+963</t>
  </si>
  <si>
    <t>Блаце</t>
  </si>
  <si>
    <t>Велики Јастребац -Блаце II</t>
  </si>
  <si>
    <t>Данилова река</t>
  </si>
  <si>
    <t>2+313</t>
  </si>
  <si>
    <t>Горња Јошаница- Велика река</t>
  </si>
  <si>
    <t>2+746</t>
  </si>
  <si>
    <t>Ргајске планине</t>
  </si>
  <si>
    <t>Мрљачка воденица - Ргајска планина</t>
  </si>
  <si>
    <t>6+443</t>
  </si>
  <si>
    <t>Соколовица</t>
  </si>
  <si>
    <t>Раскршће-Штација-Задња капија ловишта</t>
  </si>
  <si>
    <t>3+800</t>
  </si>
  <si>
    <t>Луковске шуме</t>
  </si>
  <si>
    <t>Шиповац - Дубовац II део</t>
  </si>
  <si>
    <t>1+300</t>
  </si>
  <si>
    <t>3+604</t>
  </si>
  <si>
    <t>„Ниш”, Ниш</t>
  </si>
  <si>
    <t>Алексинац</t>
  </si>
  <si>
    <t>Буковик Алексиначки</t>
  </si>
  <si>
    <t>Мозгово-Старе бараке-Џонџола</t>
  </si>
  <si>
    <t>9+728</t>
  </si>
  <si>
    <t>Сокобања</t>
  </si>
  <si>
    <t>Буковик - Мратиња</t>
  </si>
  <si>
    <t>Јошаница - Столовац</t>
  </si>
  <si>
    <t>5+971</t>
  </si>
  <si>
    <t>12+798</t>
  </si>
  <si>
    <t>Сврљиг</t>
  </si>
  <si>
    <t>Сврљишко - Гулијске пл.</t>
  </si>
  <si>
    <t>Ловачке куће-Парсово браниште-Рибарска корита-Белоинска корита</t>
  </si>
  <si>
    <t>0+425</t>
  </si>
  <si>
    <t>3+425</t>
  </si>
  <si>
    <t>„Пирот”, Пирот</t>
  </si>
  <si>
    <t>Пирот</t>
  </si>
  <si>
    <t>Стара пл.I- Широке луке</t>
  </si>
  <si>
    <t>Дом Широке луке - Каца камен</t>
  </si>
  <si>
    <t>3+101</t>
  </si>
  <si>
    <t>Јеловичка река - Нови пут</t>
  </si>
  <si>
    <t>1+360</t>
  </si>
  <si>
    <t>„Шума”, Лесковац</t>
  </si>
  <si>
    <t>Црна трава</t>
  </si>
  <si>
    <t>Барнос - Видњиште</t>
  </si>
  <si>
    <t>Мала река - Циганска долина</t>
  </si>
  <si>
    <t>1+200</t>
  </si>
  <si>
    <t>5+474</t>
  </si>
  <si>
    <t>„Врање”, Врање</t>
  </si>
  <si>
    <t>Сурдулица</t>
  </si>
  <si>
    <t>Кијевац</t>
  </si>
  <si>
    <t>Троскач - Дањино село</t>
  </si>
  <si>
    <t>5+023</t>
  </si>
  <si>
    <t>У К У П Н О:</t>
  </si>
  <si>
    <t>РЕКАПИТУЛАЦИЈА</t>
  </si>
  <si>
    <t>Вид рада</t>
  </si>
  <si>
    <t>km/din</t>
  </si>
  <si>
    <t>I фаза градње</t>
  </si>
  <si>
    <t>II фаза градње</t>
  </si>
  <si>
    <t>I+II фаза градње</t>
  </si>
  <si>
    <t>Реконсрукција</t>
  </si>
  <si>
    <t>Санација</t>
  </si>
  <si>
    <t xml:space="preserve">Укупно путеви </t>
  </si>
  <si>
    <t>Мостови</t>
  </si>
  <si>
    <t>1. Удружење приватних шумовласника "Зарожје"</t>
  </si>
  <si>
    <t>2. Удружење шумовласника Заовине</t>
  </si>
  <si>
    <t>4. Форнет доо</t>
  </si>
  <si>
    <t>5. Црквене шуме Епархије шумадијске д.о.о. Крагујевац</t>
  </si>
  <si>
    <t>6. Манастирске шуме доо, Епархија шабачка</t>
  </si>
  <si>
    <t>7. ЈП "Национални парк Копаоник"</t>
  </si>
  <si>
    <t>8. ШУМАРСКИ ФАКУЛТЕТ</t>
  </si>
  <si>
    <t>9. УВШ "ШУМЕ ХОМОЉА"</t>
  </si>
  <si>
    <t>10. ЈП"НАЦИОНАЛНИ ПАРК ТАРА "-БАЈИНА БАШТА</t>
  </si>
  <si>
    <t>11. Удружење приватних шумовласника "Баре" Рогачица, Бајина Башта</t>
  </si>
  <si>
    <t>12. УПШВ "Црвена стена"</t>
  </si>
  <si>
    <t>ПРЕДЛОГ ЗА УГОВОР</t>
  </si>
  <si>
    <t>Никшићки преседо-Корита</t>
  </si>
  <si>
    <t>Прихвата се од почетка до лугарске куће и одвајања пута Приседо-Кондер</t>
  </si>
  <si>
    <t>Оштра Стена-Г.Точило</t>
  </si>
  <si>
    <t>Одбио Завод за заштиту природе</t>
  </si>
  <si>
    <t>Завод за заштиту природе одбио сагласност за градњу пута</t>
  </si>
  <si>
    <t>прво треба да се заврши уговор из јесени 2018.</t>
  </si>
  <si>
    <t>Одбија се јер прилазни део има велики нагиб; потребно то прво изместити, па затим реконструисати овај део пута</t>
  </si>
  <si>
    <t>кориговано према цени из Конкурса</t>
  </si>
  <si>
    <t>Неисправан пројекат</t>
  </si>
  <si>
    <t>није шумски пут, пролази кроз пољопривредно земљиште</t>
  </si>
  <si>
    <t>Предлаже се 2.251 km за реконструкцију</t>
  </si>
  <si>
    <t>Предлаже се изградња 929 м и реконструкција од почетка до изградње (571 м); задњи део реконструкције се одбија, јер је добар пут</t>
  </si>
  <si>
    <t>Предлог</t>
  </si>
  <si>
    <t>Предложено 1.318 м</t>
  </si>
  <si>
    <t>Предлаже се градња пута јер је то нови пут, без кога није могуће прићи доњем путу ради реконструкције</t>
  </si>
  <si>
    <t>предлог 1.564 км</t>
  </si>
  <si>
    <t>13. Удружење приватних шумовласника "Црвица", Црвица, Бајина Башта</t>
  </si>
  <si>
    <t>14. Удружење приватних шумовласника "Подриње" Бачевци, Бајина Башта</t>
  </si>
  <si>
    <t>15. Удружење власника шума "Тилва"</t>
  </si>
  <si>
    <t>16. Удружење власника шума "Тилва"</t>
  </si>
  <si>
    <t>17. УВШ "Бор" Ужице</t>
  </si>
  <si>
    <t>3. УДРУЖЕЊЕ ПРИВАТНИХ ШУМОВЛАСНИКА "ЗАОВИНЕ"</t>
  </si>
  <si>
    <t>4. Удружење власника шума и домаћина "Растиште"</t>
  </si>
  <si>
    <t>18. УДРУЖЕЊЕ ВЛАСНИКА ШУМА ЦРНИ ТИМОК МАЛИ ИЗВОР, Мали Извор бб, Бољевац 19370</t>
  </si>
  <si>
    <t>19. Удружење власника шума "Крилаш", Ћовдин</t>
  </si>
  <si>
    <t>20. УДРУЖЕЊЕ ВЛАСНИКА ШУМА "ШУМСКА ПЕРСПЕКТИВА"</t>
  </si>
  <si>
    <t>21. Удружење Власника Шума “Жагубица”</t>
  </si>
  <si>
    <t>22. Удружење приватних шумовласника Мачва</t>
  </si>
  <si>
    <t>23. ЈП"НАЦИОНАЛНИ ПАРК ТАРА "-БАЈИНА БАШТА</t>
  </si>
  <si>
    <t>Табела 2. Преглед пријављених путних праваца и предлог за уговарање</t>
  </si>
  <si>
    <r>
      <t xml:space="preserve">Табела 2. Преглед пријављених пројеката ЈП </t>
    </r>
    <r>
      <rPr>
        <b/>
        <sz val="10"/>
        <color indexed="8"/>
        <rFont val="Calibri"/>
        <family val="2"/>
        <charset val="238"/>
      </rPr>
      <t>„</t>
    </r>
    <r>
      <rPr>
        <b/>
        <sz val="10"/>
        <color indexed="8"/>
        <rFont val="Times New Roman"/>
        <family val="1"/>
        <charset val="238"/>
      </rPr>
      <t>СРБИЈАШУМЕ</t>
    </r>
    <r>
      <rPr>
        <b/>
        <sz val="10"/>
        <color indexed="8"/>
        <rFont val="Calibri"/>
        <family val="2"/>
        <charset val="238"/>
      </rPr>
      <t>”</t>
    </r>
    <r>
      <rPr>
        <b/>
        <sz val="10"/>
        <color indexed="8"/>
        <rFont val="Times New Roman"/>
        <family val="1"/>
        <charset val="238"/>
      </rPr>
      <t xml:space="preserve">  Градња и реконструкција шумских путева; по Kонкурсу Сл. гласник РС бр.20/2019 од 22.03. 2019.год.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</si>
</sst>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8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</cellStyleXfs>
  <cellXfs count="608">
    <xf numFmtId="0" fontId="0" fillId="0" borderId="0" xfId="0"/>
    <xf numFmtId="0" fontId="3" fillId="0" borderId="0" xfId="0" applyFont="1"/>
    <xf numFmtId="4" fontId="0" fillId="0" borderId="0" xfId="0" applyNumberFormat="1"/>
    <xf numFmtId="0" fontId="7" fillId="0" borderId="5" xfId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wrapText="1"/>
    </xf>
    <xf numFmtId="0" fontId="10" fillId="0" borderId="4" xfId="2" applyFont="1" applyBorder="1" applyAlignment="1" applyProtection="1">
      <alignment horizontal="center" vertical="center" wrapText="1"/>
      <protection locked="0"/>
    </xf>
    <xf numFmtId="4" fontId="10" fillId="0" borderId="4" xfId="2" applyNumberFormat="1" applyFont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>
      <alignment horizontal="center"/>
    </xf>
    <xf numFmtId="4" fontId="8" fillId="2" borderId="4" xfId="1" applyNumberFormat="1" applyFont="1" applyFill="1" applyBorder="1" applyAlignment="1">
      <alignment horizontal="center" vertical="center"/>
    </xf>
    <xf numFmtId="4" fontId="8" fillId="2" borderId="4" xfId="1" applyNumberFormat="1" applyFont="1" applyFill="1" applyBorder="1" applyAlignment="1">
      <alignment horizontal="center"/>
    </xf>
    <xf numFmtId="0" fontId="3" fillId="0" borderId="0" xfId="0" applyFont="1" applyProtection="1"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3" fillId="0" borderId="13" xfId="1" applyFont="1" applyBorder="1" applyAlignment="1">
      <alignment horizontal="center"/>
    </xf>
    <xf numFmtId="0" fontId="12" fillId="0" borderId="16" xfId="1" applyFont="1" applyBorder="1" applyAlignment="1">
      <alignment horizontal="center" vertical="center" textRotation="90" wrapText="1"/>
    </xf>
    <xf numFmtId="0" fontId="12" fillId="4" borderId="16" xfId="1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wrapText="1"/>
    </xf>
    <xf numFmtId="4" fontId="12" fillId="4" borderId="16" xfId="1" applyNumberFormat="1" applyFont="1" applyFill="1" applyBorder="1" applyAlignment="1">
      <alignment horizontal="center" wrapText="1"/>
    </xf>
    <xf numFmtId="0" fontId="10" fillId="0" borderId="13" xfId="2" applyFont="1" applyBorder="1" applyAlignment="1" applyProtection="1">
      <alignment horizontal="center" wrapText="1"/>
      <protection locked="0"/>
    </xf>
    <xf numFmtId="0" fontId="12" fillId="0" borderId="17" xfId="1" applyFont="1" applyBorder="1" applyAlignment="1">
      <alignment horizontal="center" vertical="center" textRotation="90" wrapText="1"/>
    </xf>
    <xf numFmtId="0" fontId="12" fillId="4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4" borderId="18" xfId="1" applyFont="1" applyFill="1" applyBorder="1" applyAlignment="1">
      <alignment horizontal="center" wrapText="1"/>
    </xf>
    <xf numFmtId="4" fontId="12" fillId="4" borderId="18" xfId="1" applyNumberFormat="1" applyFont="1" applyFill="1" applyBorder="1" applyAlignment="1">
      <alignment horizontal="center" wrapText="1"/>
    </xf>
    <xf numFmtId="0" fontId="10" fillId="0" borderId="16" xfId="2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0" fontId="12" fillId="4" borderId="17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/>
    </xf>
    <xf numFmtId="0" fontId="10" fillId="0" borderId="18" xfId="2" applyFont="1" applyBorder="1" applyAlignment="1" applyProtection="1">
      <alignment horizontal="center" vertical="center" wrapText="1"/>
      <protection locked="0"/>
    </xf>
    <xf numFmtId="0" fontId="12" fillId="0" borderId="18" xfId="1" applyFont="1" applyBorder="1" applyAlignment="1">
      <alignment horizontal="center" vertical="center" textRotation="90" wrapText="1"/>
    </xf>
    <xf numFmtId="0" fontId="12" fillId="4" borderId="18" xfId="1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4" borderId="18" xfId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2" fillId="4" borderId="18" xfId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0" fillId="2" borderId="25" xfId="1" applyFont="1" applyFill="1" applyBorder="1" applyAlignment="1">
      <alignment horizontal="center" vertical="center" wrapText="1"/>
    </xf>
    <xf numFmtId="0" fontId="14" fillId="0" borderId="10" xfId="2" applyFont="1" applyBorder="1" applyAlignment="1" applyProtection="1">
      <alignment horizontal="center" vertical="center" wrapText="1"/>
      <protection locked="0"/>
    </xf>
    <xf numFmtId="0" fontId="14" fillId="0" borderId="44" xfId="2" applyFont="1" applyBorder="1" applyAlignment="1" applyProtection="1">
      <alignment horizontal="center" vertical="center" wrapText="1"/>
      <protection locked="0"/>
    </xf>
    <xf numFmtId="0" fontId="20" fillId="2" borderId="29" xfId="1" applyFont="1" applyFill="1" applyBorder="1" applyAlignment="1">
      <alignment horizontal="center" vertical="center"/>
    </xf>
    <xf numFmtId="4" fontId="20" fillId="2" borderId="48" xfId="1" applyNumberFormat="1" applyFont="1" applyFill="1" applyBorder="1" applyAlignment="1">
      <alignment horizontal="center" vertical="center"/>
    </xf>
    <xf numFmtId="0" fontId="14" fillId="0" borderId="48" xfId="2" applyFont="1" applyBorder="1" applyAlignment="1" applyProtection="1">
      <alignment horizontal="center" vertical="center" wrapText="1"/>
      <protection locked="0"/>
    </xf>
    <xf numFmtId="0" fontId="14" fillId="0" borderId="49" xfId="2" applyFont="1" applyBorder="1" applyAlignment="1" applyProtection="1">
      <alignment horizontal="center" vertical="center" wrapText="1"/>
      <protection locked="0"/>
    </xf>
    <xf numFmtId="0" fontId="14" fillId="2" borderId="36" xfId="0" applyFont="1" applyFill="1" applyBorder="1" applyAlignment="1">
      <alignment horizontal="left" vertical="center" wrapText="1"/>
    </xf>
    <xf numFmtId="0" fontId="21" fillId="2" borderId="50" xfId="0" applyFont="1" applyFill="1" applyBorder="1" applyAlignment="1">
      <alignment horizontal="left" vertical="center"/>
    </xf>
    <xf numFmtId="165" fontId="20" fillId="2" borderId="51" xfId="0" applyNumberFormat="1" applyFont="1" applyFill="1" applyBorder="1" applyAlignment="1">
      <alignment horizontal="center" vertical="center"/>
    </xf>
    <xf numFmtId="165" fontId="14" fillId="2" borderId="51" xfId="3" applyNumberFormat="1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/>
    </xf>
    <xf numFmtId="4" fontId="20" fillId="2" borderId="51" xfId="0" applyNumberFormat="1" applyFont="1" applyFill="1" applyBorder="1" applyAlignment="1">
      <alignment horizontal="right"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2" borderId="27" xfId="0" applyNumberFormat="1" applyFont="1" applyFill="1" applyBorder="1" applyAlignment="1">
      <alignment horizontal="right" vertical="center"/>
    </xf>
    <xf numFmtId="0" fontId="14" fillId="2" borderId="4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165" fontId="20" fillId="2" borderId="4" xfId="0" applyNumberFormat="1" applyFont="1" applyFill="1" applyBorder="1" applyAlignment="1">
      <alignment horizontal="center" vertical="center"/>
    </xf>
    <xf numFmtId="165" fontId="14" fillId="2" borderId="4" xfId="3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4" fontId="20" fillId="2" borderId="4" xfId="0" applyNumberFormat="1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horizontal="right" vertical="center"/>
    </xf>
    <xf numFmtId="4" fontId="14" fillId="2" borderId="52" xfId="0" applyNumberFormat="1" applyFont="1" applyFill="1" applyBorder="1" applyAlignment="1">
      <alignment horizontal="right" vertical="center"/>
    </xf>
    <xf numFmtId="165" fontId="22" fillId="0" borderId="22" xfId="0" applyNumberFormat="1" applyFon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/>
    </xf>
    <xf numFmtId="165" fontId="24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right" vertical="center"/>
    </xf>
    <xf numFmtId="4" fontId="24" fillId="0" borderId="23" xfId="0" applyNumberFormat="1" applyFont="1" applyBorder="1" applyAlignment="1">
      <alignment horizontal="right" vertical="center"/>
    </xf>
    <xf numFmtId="0" fontId="14" fillId="2" borderId="50" xfId="0" applyFont="1" applyFill="1" applyBorder="1" applyAlignment="1">
      <alignment horizontal="left" vertical="center" wrapText="1"/>
    </xf>
    <xf numFmtId="0" fontId="21" fillId="2" borderId="51" xfId="0" applyFont="1" applyFill="1" applyBorder="1" applyAlignment="1">
      <alignment horizontal="left" vertical="center"/>
    </xf>
    <xf numFmtId="0" fontId="21" fillId="2" borderId="5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 wrapText="1"/>
    </xf>
    <xf numFmtId="165" fontId="14" fillId="3" borderId="4" xfId="3" applyNumberFormat="1" applyFont="1" applyFill="1" applyBorder="1" applyAlignment="1">
      <alignment horizontal="center" vertical="center" wrapText="1"/>
    </xf>
    <xf numFmtId="165" fontId="22" fillId="2" borderId="22" xfId="0" applyNumberFormat="1" applyFont="1" applyFill="1" applyBorder="1" applyAlignment="1">
      <alignment horizontal="center" vertical="center"/>
    </xf>
    <xf numFmtId="165" fontId="24" fillId="2" borderId="22" xfId="0" applyNumberFormat="1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4" fontId="24" fillId="2" borderId="22" xfId="0" applyNumberFormat="1" applyFont="1" applyFill="1" applyBorder="1" applyAlignment="1">
      <alignment horizontal="right" vertical="center"/>
    </xf>
    <xf numFmtId="4" fontId="24" fillId="2" borderId="23" xfId="0" applyNumberFormat="1" applyFont="1" applyFill="1" applyBorder="1" applyAlignment="1">
      <alignment horizontal="right" vertical="center"/>
    </xf>
    <xf numFmtId="0" fontId="20" fillId="2" borderId="50" xfId="0" applyFont="1" applyFill="1" applyBorder="1" applyAlignment="1">
      <alignment horizontal="left" vertical="center" wrapText="1"/>
    </xf>
    <xf numFmtId="165" fontId="20" fillId="2" borderId="51" xfId="3" applyNumberFormat="1" applyFont="1" applyFill="1" applyBorder="1" applyAlignment="1">
      <alignment horizontal="center" vertical="center" wrapText="1"/>
    </xf>
    <xf numFmtId="4" fontId="20" fillId="2" borderId="27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 wrapText="1"/>
    </xf>
    <xf numFmtId="165" fontId="20" fillId="2" borderId="4" xfId="3" applyNumberFormat="1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right" vertical="center"/>
    </xf>
    <xf numFmtId="4" fontId="20" fillId="2" borderId="52" xfId="0" applyNumberFormat="1" applyFont="1" applyFill="1" applyBorder="1" applyAlignment="1">
      <alignment horizontal="right" vertical="center"/>
    </xf>
    <xf numFmtId="165" fontId="17" fillId="2" borderId="53" xfId="0" applyNumberFormat="1" applyFont="1" applyFill="1" applyBorder="1" applyAlignment="1">
      <alignment horizontal="center" vertical="center"/>
    </xf>
    <xf numFmtId="165" fontId="27" fillId="2" borderId="20" xfId="0" applyNumberFormat="1" applyFont="1" applyFill="1" applyBorder="1" applyAlignment="1">
      <alignment horizontal="center" vertical="center"/>
    </xf>
    <xf numFmtId="165" fontId="27" fillId="2" borderId="22" xfId="0" applyNumberFormat="1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4" fontId="27" fillId="2" borderId="22" xfId="0" applyNumberFormat="1" applyFont="1" applyFill="1" applyBorder="1" applyAlignment="1">
      <alignment horizontal="right" vertical="center"/>
    </xf>
    <xf numFmtId="4" fontId="27" fillId="2" borderId="23" xfId="0" applyNumberFormat="1" applyFont="1" applyFill="1" applyBorder="1" applyAlignment="1">
      <alignment horizontal="right" vertical="center"/>
    </xf>
    <xf numFmtId="165" fontId="20" fillId="2" borderId="10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4" fontId="22" fillId="2" borderId="22" xfId="0" applyNumberFormat="1" applyFont="1" applyFill="1" applyBorder="1" applyAlignment="1">
      <alignment horizontal="right" vertical="center"/>
    </xf>
    <xf numFmtId="4" fontId="22" fillId="2" borderId="23" xfId="0" applyNumberFormat="1" applyFont="1" applyFill="1" applyBorder="1" applyAlignment="1">
      <alignment horizontal="right" vertical="center"/>
    </xf>
    <xf numFmtId="0" fontId="21" fillId="6" borderId="51" xfId="0" applyFont="1" applyFill="1" applyBorder="1" applyAlignment="1">
      <alignment horizontal="left" vertical="center" wrapText="1"/>
    </xf>
    <xf numFmtId="4" fontId="14" fillId="2" borderId="25" xfId="0" applyNumberFormat="1" applyFont="1" applyFill="1" applyBorder="1" applyAlignment="1">
      <alignment horizontal="right" vertical="center"/>
    </xf>
    <xf numFmtId="0" fontId="21" fillId="6" borderId="4" xfId="0" applyFont="1" applyFill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right" vertical="center"/>
    </xf>
    <xf numFmtId="4" fontId="24" fillId="3" borderId="22" xfId="0" applyNumberFormat="1" applyFont="1" applyFill="1" applyBorder="1" applyAlignment="1">
      <alignment horizontal="right" vertical="center"/>
    </xf>
    <xf numFmtId="0" fontId="29" fillId="6" borderId="29" xfId="0" applyFont="1" applyFill="1" applyBorder="1" applyAlignment="1">
      <alignment horizontal="left" vertical="center" wrapText="1"/>
    </xf>
    <xf numFmtId="165" fontId="14" fillId="2" borderId="29" xfId="0" applyNumberFormat="1" applyFont="1" applyFill="1" applyBorder="1" applyAlignment="1">
      <alignment horizontal="center" vertical="center"/>
    </xf>
    <xf numFmtId="165" fontId="23" fillId="2" borderId="29" xfId="4" applyNumberFormat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4" fontId="14" fillId="2" borderId="29" xfId="0" applyNumberFormat="1" applyFont="1" applyFill="1" applyBorder="1" applyAlignment="1">
      <alignment horizontal="right" vertical="center"/>
    </xf>
    <xf numFmtId="4" fontId="14" fillId="2" borderId="30" xfId="0" applyNumberFormat="1" applyFont="1" applyFill="1" applyBorder="1" applyAlignment="1">
      <alignment horizontal="right" vertical="center"/>
    </xf>
    <xf numFmtId="0" fontId="21" fillId="3" borderId="51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21" fillId="2" borderId="50" xfId="0" applyFont="1" applyFill="1" applyBorder="1" applyAlignment="1">
      <alignment horizontal="left" vertical="center" wrapText="1"/>
    </xf>
    <xf numFmtId="0" fontId="14" fillId="2" borderId="4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horizontal="left" vertical="center" wrapText="1"/>
    </xf>
    <xf numFmtId="0" fontId="29" fillId="2" borderId="47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165" fontId="14" fillId="3" borderId="29" xfId="4" applyNumberFormat="1" applyFont="1" applyFill="1" applyBorder="1" applyAlignment="1">
      <alignment horizontal="center" vertical="center"/>
    </xf>
    <xf numFmtId="4" fontId="14" fillId="3" borderId="29" xfId="0" applyNumberFormat="1" applyFont="1" applyFill="1" applyBorder="1" applyAlignment="1">
      <alignment horizontal="right" vertical="center"/>
    </xf>
    <xf numFmtId="0" fontId="14" fillId="2" borderId="40" xfId="0" applyFont="1" applyFill="1" applyBorder="1" applyAlignment="1">
      <alignment horizontal="left" vertical="center" wrapText="1"/>
    </xf>
    <xf numFmtId="0" fontId="21" fillId="3" borderId="5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center" vertical="center"/>
    </xf>
    <xf numFmtId="165" fontId="14" fillId="2" borderId="5" xfId="3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4" fontId="20" fillId="2" borderId="5" xfId="0" applyNumberFormat="1" applyFont="1" applyFill="1" applyBorder="1" applyAlignment="1">
      <alignment horizontal="right" vertical="center"/>
    </xf>
    <xf numFmtId="4" fontId="14" fillId="2" borderId="54" xfId="0" applyNumberFormat="1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165" fontId="20" fillId="0" borderId="25" xfId="0" applyNumberFormat="1" applyFont="1" applyFill="1" applyBorder="1" applyAlignment="1">
      <alignment horizontal="center" vertical="center"/>
    </xf>
    <xf numFmtId="165" fontId="14" fillId="0" borderId="51" xfId="3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" fontId="14" fillId="0" borderId="52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165" fontId="20" fillId="0" borderId="4" xfId="0" applyNumberFormat="1" applyFont="1" applyBorder="1" applyAlignment="1">
      <alignment horizontal="center" vertical="center"/>
    </xf>
    <xf numFmtId="165" fontId="14" fillId="0" borderId="4" xfId="3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 wrapText="1"/>
    </xf>
    <xf numFmtId="165" fontId="20" fillId="0" borderId="5" xfId="0" applyNumberFormat="1" applyFont="1" applyBorder="1" applyAlignment="1">
      <alignment horizontal="center" vertical="center"/>
    </xf>
    <xf numFmtId="165" fontId="14" fillId="0" borderId="5" xfId="3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right" vertical="center"/>
    </xf>
    <xf numFmtId="4" fontId="14" fillId="0" borderId="54" xfId="0" applyNumberFormat="1" applyFont="1" applyFill="1" applyBorder="1" applyAlignment="1">
      <alignment horizontal="right" vertical="center"/>
    </xf>
    <xf numFmtId="165" fontId="32" fillId="0" borderId="22" xfId="0" applyNumberFormat="1" applyFont="1" applyBorder="1" applyAlignment="1">
      <alignment horizontal="center" vertical="center"/>
    </xf>
    <xf numFmtId="165" fontId="24" fillId="0" borderId="22" xfId="4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3" borderId="4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/>
    </xf>
    <xf numFmtId="165" fontId="24" fillId="2" borderId="25" xfId="0" applyNumberFormat="1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4" fontId="24" fillId="2" borderId="25" xfId="0" applyNumberFormat="1" applyFont="1" applyFill="1" applyBorder="1" applyAlignment="1">
      <alignment horizontal="right" vertical="center"/>
    </xf>
    <xf numFmtId="4" fontId="24" fillId="3" borderId="25" xfId="0" applyNumberFormat="1" applyFont="1" applyFill="1" applyBorder="1" applyAlignment="1">
      <alignment horizontal="right" vertical="center"/>
    </xf>
    <xf numFmtId="4" fontId="24" fillId="2" borderId="27" xfId="0" applyNumberFormat="1" applyFont="1" applyFill="1" applyBorder="1" applyAlignment="1">
      <alignment horizontal="right" vertical="center"/>
    </xf>
    <xf numFmtId="165" fontId="33" fillId="0" borderId="55" xfId="0" applyNumberFormat="1" applyFont="1" applyBorder="1" applyAlignment="1">
      <alignment vertical="center"/>
    </xf>
    <xf numFmtId="165" fontId="33" fillId="0" borderId="22" xfId="0" applyNumberFormat="1" applyFont="1" applyBorder="1" applyAlignment="1">
      <alignment horizontal="center" vertical="center"/>
    </xf>
    <xf numFmtId="165" fontId="33" fillId="0" borderId="2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65" fontId="22" fillId="0" borderId="21" xfId="0" applyNumberFormat="1" applyFont="1" applyBorder="1" applyAlignment="1">
      <alignment horizontal="center" vertical="center"/>
    </xf>
    <xf numFmtId="4" fontId="22" fillId="0" borderId="22" xfId="0" applyNumberFormat="1" applyFont="1" applyBorder="1" applyAlignment="1">
      <alignment horizontal="right" vertical="center"/>
    </xf>
    <xf numFmtId="4" fontId="22" fillId="0" borderId="21" xfId="0" applyNumberFormat="1" applyFont="1" applyBorder="1" applyAlignment="1">
      <alignment horizontal="right" vertical="center"/>
    </xf>
    <xf numFmtId="4" fontId="22" fillId="0" borderId="23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4" fontId="21" fillId="2" borderId="22" xfId="1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right" vertical="center"/>
    </xf>
    <xf numFmtId="4" fontId="29" fillId="0" borderId="44" xfId="0" applyNumberFormat="1" applyFont="1" applyBorder="1" applyAlignment="1">
      <alignment horizontal="right" vertical="center"/>
    </xf>
    <xf numFmtId="165" fontId="29" fillId="0" borderId="4" xfId="0" applyNumberFormat="1" applyFont="1" applyBorder="1" applyAlignment="1">
      <alignment horizontal="center" vertical="center"/>
    </xf>
    <xf numFmtId="4" fontId="29" fillId="0" borderId="4" xfId="0" applyNumberFormat="1" applyFont="1" applyBorder="1" applyAlignment="1">
      <alignment horizontal="right" vertical="center"/>
    </xf>
    <xf numFmtId="4" fontId="29" fillId="0" borderId="52" xfId="0" applyNumberFormat="1" applyFont="1" applyBorder="1" applyAlignment="1">
      <alignment horizontal="right" vertical="center"/>
    </xf>
    <xf numFmtId="0" fontId="0" fillId="0" borderId="0" xfId="0" applyAlignment="1" applyProtection="1">
      <alignment wrapText="1"/>
      <protection locked="0"/>
    </xf>
    <xf numFmtId="165" fontId="29" fillId="0" borderId="5" xfId="0" applyNumberFormat="1" applyFont="1" applyBorder="1" applyAlignment="1">
      <alignment horizontal="center" vertical="center"/>
    </xf>
    <xf numFmtId="4" fontId="29" fillId="0" borderId="5" xfId="0" applyNumberFormat="1" applyFont="1" applyBorder="1" applyAlignment="1">
      <alignment horizontal="right" vertical="center"/>
    </xf>
    <xf numFmtId="4" fontId="29" fillId="0" borderId="54" xfId="0" applyNumberFormat="1" applyFont="1" applyBorder="1" applyAlignment="1">
      <alignment horizontal="right" vertical="center"/>
    </xf>
    <xf numFmtId="4" fontId="29" fillId="0" borderId="6" xfId="0" applyNumberFormat="1" applyFont="1" applyBorder="1" applyAlignment="1">
      <alignment horizontal="right" vertical="center"/>
    </xf>
    <xf numFmtId="4" fontId="8" fillId="2" borderId="5" xfId="1" applyNumberFormat="1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4" xfId="0" applyFont="1" applyFill="1" applyBorder="1"/>
    <xf numFmtId="0" fontId="3" fillId="7" borderId="4" xfId="0" applyFont="1" applyFill="1" applyBorder="1" applyAlignment="1">
      <alignment wrapText="1"/>
    </xf>
    <xf numFmtId="4" fontId="3" fillId="7" borderId="4" xfId="0" applyNumberFormat="1" applyFont="1" applyFill="1" applyBorder="1"/>
    <xf numFmtId="0" fontId="5" fillId="7" borderId="4" xfId="0" applyFont="1" applyFill="1" applyBorder="1" applyAlignment="1" applyProtection="1">
      <alignment horizontal="center"/>
      <protection locked="0"/>
    </xf>
    <xf numFmtId="4" fontId="5" fillId="7" borderId="4" xfId="0" applyNumberFormat="1" applyFont="1" applyFill="1" applyBorder="1"/>
    <xf numFmtId="0" fontId="5" fillId="7" borderId="4" xfId="0" applyFont="1" applyFill="1" applyBorder="1"/>
    <xf numFmtId="0" fontId="3" fillId="8" borderId="4" xfId="0" applyFont="1" applyFill="1" applyBorder="1" applyAlignment="1">
      <alignment horizontal="center" wrapText="1"/>
    </xf>
    <xf numFmtId="0" fontId="3" fillId="8" borderId="4" xfId="0" applyFont="1" applyFill="1" applyBorder="1"/>
    <xf numFmtId="0" fontId="3" fillId="8" borderId="4" xfId="0" applyFont="1" applyFill="1" applyBorder="1" applyAlignment="1">
      <alignment wrapText="1"/>
    </xf>
    <xf numFmtId="4" fontId="3" fillId="8" borderId="4" xfId="0" applyNumberFormat="1" applyFont="1" applyFill="1" applyBorder="1"/>
    <xf numFmtId="0" fontId="5" fillId="8" borderId="4" xfId="0" applyFont="1" applyFill="1" applyBorder="1" applyAlignment="1" applyProtection="1">
      <alignment horizontal="center"/>
      <protection locked="0"/>
    </xf>
    <xf numFmtId="4" fontId="5" fillId="8" borderId="4" xfId="0" applyNumberFormat="1" applyFont="1" applyFill="1" applyBorder="1"/>
    <xf numFmtId="0" fontId="5" fillId="8" borderId="4" xfId="0" applyFont="1" applyFill="1" applyBorder="1"/>
    <xf numFmtId="0" fontId="5" fillId="7" borderId="4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0" xfId="0" applyFont="1" applyFill="1"/>
    <xf numFmtId="0" fontId="3" fillId="8" borderId="4" xfId="0" applyFont="1" applyFill="1" applyBorder="1" applyAlignment="1">
      <alignment horizontal="right" wrapText="1"/>
    </xf>
    <xf numFmtId="0" fontId="3" fillId="8" borderId="9" xfId="0" applyFont="1" applyFill="1" applyBorder="1" applyAlignment="1">
      <alignment horizontal="center" vertical="center" wrapText="1"/>
    </xf>
    <xf numFmtId="3" fontId="3" fillId="8" borderId="4" xfId="0" applyNumberFormat="1" applyFont="1" applyFill="1" applyBorder="1"/>
    <xf numFmtId="3" fontId="5" fillId="8" borderId="4" xfId="0" applyNumberFormat="1" applyFont="1" applyFill="1" applyBorder="1"/>
    <xf numFmtId="0" fontId="5" fillId="8" borderId="4" xfId="0" applyFont="1" applyFill="1" applyBorder="1" applyAlignment="1">
      <alignment wrapText="1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/>
    <xf numFmtId="0" fontId="11" fillId="7" borderId="4" xfId="0" applyFont="1" applyFill="1" applyBorder="1" applyAlignment="1">
      <alignment wrapText="1"/>
    </xf>
    <xf numFmtId="0" fontId="11" fillId="7" borderId="4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center" textRotation="90" wrapText="1"/>
    </xf>
    <xf numFmtId="0" fontId="11" fillId="8" borderId="4" xfId="0" applyFont="1" applyFill="1" applyBorder="1" applyAlignment="1">
      <alignment horizontal="center" wrapText="1"/>
    </xf>
    <xf numFmtId="0" fontId="11" fillId="8" borderId="4" xfId="0" applyFont="1" applyFill="1" applyBorder="1"/>
    <xf numFmtId="0" fontId="11" fillId="8" borderId="4" xfId="0" applyFont="1" applyFill="1" applyBorder="1" applyAlignment="1">
      <alignment wrapText="1"/>
    </xf>
    <xf numFmtId="3" fontId="3" fillId="7" borderId="4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164" fontId="3" fillId="7" borderId="4" xfId="0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center" vertical="center" wrapText="1"/>
    </xf>
    <xf numFmtId="3" fontId="3" fillId="7" borderId="4" xfId="0" applyNumberFormat="1" applyFont="1" applyFill="1" applyBorder="1"/>
    <xf numFmtId="165" fontId="3" fillId="7" borderId="4" xfId="0" applyNumberFormat="1" applyFont="1" applyFill="1" applyBorder="1"/>
    <xf numFmtId="0" fontId="5" fillId="8" borderId="4" xfId="0" applyFont="1" applyFill="1" applyBorder="1" applyAlignment="1">
      <alignment horizontal="center" wrapText="1"/>
    </xf>
    <xf numFmtId="4" fontId="5" fillId="8" borderId="4" xfId="0" applyNumberFormat="1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/>
    </xf>
    <xf numFmtId="4" fontId="5" fillId="8" borderId="4" xfId="0" applyNumberFormat="1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3" fillId="7" borderId="4" xfId="0" applyFont="1" applyFill="1" applyBorder="1" applyProtection="1">
      <protection locked="0"/>
    </xf>
    <xf numFmtId="4" fontId="3" fillId="7" borderId="4" xfId="0" applyNumberFormat="1" applyFont="1" applyFill="1" applyBorder="1" applyAlignment="1" applyProtection="1">
      <alignment horizontal="right" vertic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 wrapText="1"/>
      <protection locked="0"/>
    </xf>
    <xf numFmtId="0" fontId="3" fillId="9" borderId="4" xfId="0" applyFont="1" applyFill="1" applyBorder="1" applyAlignment="1">
      <alignment horizontal="center" wrapText="1"/>
    </xf>
    <xf numFmtId="0" fontId="3" fillId="9" borderId="4" xfId="0" applyFont="1" applyFill="1" applyBorder="1"/>
    <xf numFmtId="0" fontId="3" fillId="9" borderId="4" xfId="0" applyFont="1" applyFill="1" applyBorder="1" applyAlignment="1">
      <alignment wrapText="1"/>
    </xf>
    <xf numFmtId="0" fontId="5" fillId="9" borderId="4" xfId="0" applyFont="1" applyFill="1" applyBorder="1" applyAlignment="1" applyProtection="1">
      <alignment horizontal="center"/>
      <protection locked="0"/>
    </xf>
    <xf numFmtId="0" fontId="3" fillId="8" borderId="5" xfId="0" applyFont="1" applyFill="1" applyBorder="1" applyAlignment="1">
      <alignment horizontal="center" wrapText="1"/>
    </xf>
    <xf numFmtId="0" fontId="3" fillId="8" borderId="5" xfId="0" applyFont="1" applyFill="1" applyBorder="1" applyAlignment="1"/>
    <xf numFmtId="0" fontId="11" fillId="8" borderId="5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0" xfId="0" applyFont="1" applyFill="1" applyBorder="1" applyAlignment="1"/>
    <xf numFmtId="0" fontId="11" fillId="8" borderId="10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center" vertical="center" textRotation="90" wrapText="1"/>
    </xf>
    <xf numFmtId="164" fontId="3" fillId="7" borderId="4" xfId="0" applyNumberFormat="1" applyFont="1" applyFill="1" applyBorder="1"/>
    <xf numFmtId="0" fontId="3" fillId="7" borderId="4" xfId="0" applyFont="1" applyFill="1" applyBorder="1" applyAlignment="1">
      <alignment vertical="center" wrapText="1"/>
    </xf>
    <xf numFmtId="0" fontId="3" fillId="8" borderId="5" xfId="0" applyFont="1" applyFill="1" applyBorder="1"/>
    <xf numFmtId="0" fontId="3" fillId="8" borderId="5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3" fillId="8" borderId="24" xfId="0" applyFont="1" applyFill="1" applyBorder="1" applyAlignment="1">
      <alignment horizontal="center" wrapText="1"/>
    </xf>
    <xf numFmtId="0" fontId="3" fillId="8" borderId="25" xfId="0" applyFont="1" applyFill="1" applyBorder="1" applyAlignment="1"/>
    <xf numFmtId="0" fontId="11" fillId="8" borderId="25" xfId="0" applyFont="1" applyFill="1" applyBorder="1" applyAlignment="1">
      <alignment horizontal="left" wrapText="1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/>
    <xf numFmtId="0" fontId="3" fillId="8" borderId="25" xfId="0" applyFont="1" applyFill="1" applyBorder="1" applyAlignment="1">
      <alignment horizontal="right"/>
    </xf>
    <xf numFmtId="0" fontId="11" fillId="8" borderId="25" xfId="0" applyFont="1" applyFill="1" applyBorder="1" applyAlignment="1">
      <alignment wrapText="1"/>
    </xf>
    <xf numFmtId="0" fontId="3" fillId="8" borderId="25" xfId="0" applyFont="1" applyFill="1" applyBorder="1"/>
    <xf numFmtId="0" fontId="3" fillId="8" borderId="4" xfId="0" applyFont="1" applyFill="1" applyBorder="1" applyAlignment="1"/>
    <xf numFmtId="0" fontId="11" fillId="8" borderId="4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 wrapText="1"/>
    </xf>
    <xf numFmtId="0" fontId="3" fillId="8" borderId="29" xfId="0" applyFont="1" applyFill="1" applyBorder="1" applyAlignment="1"/>
    <xf numFmtId="0" fontId="11" fillId="8" borderId="29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right"/>
    </xf>
    <xf numFmtId="0" fontId="3" fillId="8" borderId="29" xfId="0" applyFont="1" applyFill="1" applyBorder="1" applyAlignment="1">
      <alignment wrapText="1"/>
    </xf>
    <xf numFmtId="0" fontId="3" fillId="8" borderId="29" xfId="0" applyFont="1" applyFill="1" applyBorder="1"/>
    <xf numFmtId="2" fontId="3" fillId="8" borderId="4" xfId="0" applyNumberFormat="1" applyFont="1" applyFill="1" applyBorder="1"/>
    <xf numFmtId="164" fontId="3" fillId="7" borderId="4" xfId="0" applyNumberFormat="1" applyFont="1" applyFill="1" applyBorder="1" applyAlignment="1">
      <alignment vertical="center"/>
    </xf>
    <xf numFmtId="3" fontId="3" fillId="7" borderId="4" xfId="0" applyNumberFormat="1" applyFont="1" applyFill="1" applyBorder="1" applyAlignment="1">
      <alignment vertical="center"/>
    </xf>
    <xf numFmtId="4" fontId="16" fillId="8" borderId="3" xfId="0" applyNumberFormat="1" applyFont="1" applyFill="1" applyBorder="1" applyAlignment="1">
      <alignment horizontal="left"/>
    </xf>
    <xf numFmtId="0" fontId="16" fillId="8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15" fillId="8" borderId="6" xfId="1" applyFont="1" applyFill="1" applyBorder="1" applyAlignment="1">
      <alignment horizontal="center" vertical="center" wrapText="1"/>
    </xf>
    <xf numFmtId="3" fontId="15" fillId="8" borderId="5" xfId="1" applyNumberFormat="1" applyFont="1" applyFill="1" applyBorder="1" applyAlignment="1">
      <alignment horizontal="center" vertical="center" wrapText="1"/>
    </xf>
    <xf numFmtId="0" fontId="3" fillId="8" borderId="2" xfId="0" applyFont="1" applyFill="1" applyBorder="1"/>
    <xf numFmtId="0" fontId="3" fillId="8" borderId="4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vertical="center"/>
    </xf>
    <xf numFmtId="0" fontId="3" fillId="8" borderId="4" xfId="0" applyFont="1" applyFill="1" applyBorder="1" applyAlignment="1">
      <alignment horizontal="center" vertical="center" wrapText="1"/>
    </xf>
    <xf numFmtId="0" fontId="15" fillId="8" borderId="31" xfId="1" applyFont="1" applyFill="1" applyBorder="1" applyAlignment="1">
      <alignment horizontal="center" vertical="center" wrapText="1"/>
    </xf>
    <xf numFmtId="0" fontId="15" fillId="8" borderId="10" xfId="1" applyFont="1" applyFill="1" applyBorder="1" applyAlignment="1">
      <alignment horizontal="center" vertical="center" wrapText="1"/>
    </xf>
    <xf numFmtId="4" fontId="3" fillId="8" borderId="4" xfId="0" applyNumberFormat="1" applyFont="1" applyFill="1" applyBorder="1" applyAlignment="1">
      <alignment vertical="center"/>
    </xf>
    <xf numFmtId="4" fontId="3" fillId="8" borderId="4" xfId="0" applyNumberFormat="1" applyFont="1" applyFill="1" applyBorder="1" applyAlignment="1">
      <alignment horizontal="center" vertical="center" wrapText="1"/>
    </xf>
    <xf numFmtId="0" fontId="15" fillId="8" borderId="5" xfId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vertical="center"/>
    </xf>
    <xf numFmtId="4" fontId="44" fillId="8" borderId="4" xfId="0" applyNumberFormat="1" applyFont="1" applyFill="1" applyBorder="1"/>
    <xf numFmtId="4" fontId="5" fillId="7" borderId="4" xfId="0" applyNumberFormat="1" applyFont="1" applyFill="1" applyBorder="1" applyAlignment="1">
      <alignment horizontal="right"/>
    </xf>
    <xf numFmtId="4" fontId="5" fillId="7" borderId="4" xfId="0" applyNumberFormat="1" applyFont="1" applyFill="1" applyBorder="1" applyAlignment="1" applyProtection="1">
      <alignment horizontal="right" vertical="center"/>
      <protection locked="0"/>
    </xf>
    <xf numFmtId="4" fontId="5" fillId="3" borderId="4" xfId="0" applyNumberFormat="1" applyFont="1" applyFill="1" applyBorder="1"/>
    <xf numFmtId="4" fontId="5" fillId="5" borderId="5" xfId="0" applyNumberFormat="1" applyFont="1" applyFill="1" applyBorder="1"/>
    <xf numFmtId="4" fontId="5" fillId="3" borderId="25" xfId="0" applyNumberFormat="1" applyFont="1" applyFill="1" applyBorder="1"/>
    <xf numFmtId="4" fontId="5" fillId="3" borderId="29" xfId="0" applyNumberFormat="1" applyFont="1" applyFill="1" applyBorder="1"/>
    <xf numFmtId="4" fontId="5" fillId="0" borderId="0" xfId="0" applyNumberFormat="1" applyFont="1"/>
    <xf numFmtId="4" fontId="5" fillId="3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5" fillId="9" borderId="4" xfId="0" applyNumberFormat="1" applyFont="1" applyFill="1" applyBorder="1"/>
    <xf numFmtId="0" fontId="2" fillId="0" borderId="0" xfId="0" applyFont="1"/>
    <xf numFmtId="0" fontId="11" fillId="10" borderId="13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center" wrapText="1"/>
    </xf>
    <xf numFmtId="0" fontId="3" fillId="10" borderId="13" xfId="0" applyFont="1" applyFill="1" applyBorder="1"/>
    <xf numFmtId="0" fontId="3" fillId="10" borderId="13" xfId="0" applyFont="1" applyFill="1" applyBorder="1" applyAlignment="1">
      <alignment wrapText="1"/>
    </xf>
    <xf numFmtId="0" fontId="5" fillId="10" borderId="13" xfId="0" applyFont="1" applyFill="1" applyBorder="1" applyAlignment="1" applyProtection="1">
      <alignment horizontal="center"/>
      <protection locked="0"/>
    </xf>
    <xf numFmtId="0" fontId="0" fillId="8" borderId="4" xfId="0" applyFill="1" applyBorder="1" applyAlignment="1">
      <alignment horizontal="center" wrapText="1"/>
    </xf>
    <xf numFmtId="0" fontId="45" fillId="0" borderId="0" xfId="0" applyFont="1" applyAlignment="1">
      <alignment wrapText="1"/>
    </xf>
    <xf numFmtId="4" fontId="47" fillId="7" borderId="4" xfId="0" applyNumberFormat="1" applyFont="1" applyFill="1" applyBorder="1"/>
    <xf numFmtId="3" fontId="10" fillId="0" borderId="4" xfId="2" applyNumberFormat="1" applyFont="1" applyBorder="1" applyAlignment="1" applyProtection="1">
      <alignment horizontal="center" vertical="center" wrapText="1"/>
      <protection locked="0"/>
    </xf>
    <xf numFmtId="3" fontId="5" fillId="7" borderId="4" xfId="0" applyNumberFormat="1" applyFont="1" applyFill="1" applyBorder="1"/>
    <xf numFmtId="3" fontId="3" fillId="7" borderId="4" xfId="0" applyNumberFormat="1" applyFont="1" applyFill="1" applyBorder="1" applyAlignment="1" applyProtection="1">
      <alignment horizontal="right" vertical="center"/>
      <protection locked="0"/>
    </xf>
    <xf numFmtId="3" fontId="3" fillId="8" borderId="5" xfId="0" applyNumberFormat="1" applyFont="1" applyFill="1" applyBorder="1"/>
    <xf numFmtId="3" fontId="3" fillId="8" borderId="25" xfId="0" applyNumberFormat="1" applyFont="1" applyFill="1" applyBorder="1"/>
    <xf numFmtId="3" fontId="3" fillId="8" borderId="29" xfId="0" applyNumberFormat="1" applyFont="1" applyFill="1" applyBorder="1"/>
    <xf numFmtId="3" fontId="3" fillId="0" borderId="0" xfId="0" applyNumberFormat="1" applyFont="1"/>
    <xf numFmtId="3" fontId="3" fillId="9" borderId="4" xfId="0" applyNumberFormat="1" applyFont="1" applyFill="1" applyBorder="1"/>
    <xf numFmtId="3" fontId="16" fillId="8" borderId="3" xfId="0" applyNumberFormat="1" applyFont="1" applyFill="1" applyBorder="1" applyAlignment="1">
      <alignment horizontal="left"/>
    </xf>
    <xf numFmtId="3" fontId="0" fillId="0" borderId="0" xfId="0" applyNumberFormat="1"/>
    <xf numFmtId="3" fontId="3" fillId="10" borderId="13" xfId="0" applyNumberFormat="1" applyFont="1" applyFill="1" applyBorder="1" applyAlignment="1">
      <alignment horizontal="center"/>
    </xf>
    <xf numFmtId="4" fontId="5" fillId="10" borderId="13" xfId="0" applyNumberFormat="1" applyFont="1" applyFill="1" applyBorder="1" applyAlignment="1">
      <alignment horizontal="center"/>
    </xf>
    <xf numFmtId="3" fontId="5" fillId="10" borderId="13" xfId="0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wrapText="1"/>
    </xf>
    <xf numFmtId="0" fontId="15" fillId="8" borderId="4" xfId="0" applyFont="1" applyFill="1" applyBorder="1" applyAlignment="1">
      <alignment wrapText="1"/>
    </xf>
    <xf numFmtId="0" fontId="15" fillId="8" borderId="4" xfId="0" applyFont="1" applyFill="1" applyBorder="1"/>
    <xf numFmtId="3" fontId="15" fillId="8" borderId="4" xfId="0" applyNumberFormat="1" applyFont="1" applyFill="1" applyBorder="1"/>
    <xf numFmtId="3" fontId="48" fillId="8" borderId="4" xfId="0" applyNumberFormat="1" applyFont="1" applyFill="1" applyBorder="1"/>
    <xf numFmtId="3" fontId="48" fillId="3" borderId="4" xfId="0" applyNumberFormat="1" applyFont="1" applyFill="1" applyBorder="1"/>
    <xf numFmtId="4" fontId="0" fillId="0" borderId="0" xfId="0" applyNumberFormat="1" applyFill="1"/>
    <xf numFmtId="4" fontId="2" fillId="0" borderId="0" xfId="0" applyNumberFormat="1" applyFont="1" applyFill="1"/>
    <xf numFmtId="0" fontId="0" fillId="0" borderId="0" xfId="0" applyFill="1"/>
    <xf numFmtId="4" fontId="49" fillId="5" borderId="4" xfId="0" applyNumberFormat="1" applyFont="1" applyFill="1" applyBorder="1" applyAlignment="1">
      <alignment wrapText="1"/>
    </xf>
    <xf numFmtId="0" fontId="51" fillId="0" borderId="0" xfId="0" applyFont="1"/>
    <xf numFmtId="4" fontId="51" fillId="0" borderId="0" xfId="0" applyNumberFormat="1" applyFont="1"/>
    <xf numFmtId="4" fontId="52" fillId="3" borderId="0" xfId="0" applyNumberFormat="1" applyFont="1" applyFill="1"/>
    <xf numFmtId="4" fontId="52" fillId="3" borderId="4" xfId="0" applyNumberFormat="1" applyFont="1" applyFill="1" applyBorder="1"/>
    <xf numFmtId="4" fontId="51" fillId="3" borderId="4" xfId="0" applyNumberFormat="1" applyFont="1" applyFill="1" applyBorder="1" applyAlignment="1">
      <alignment vertical="center"/>
    </xf>
    <xf numFmtId="4" fontId="51" fillId="5" borderId="0" xfId="0" applyNumberFormat="1" applyFont="1" applyFill="1"/>
    <xf numFmtId="4" fontId="51" fillId="3" borderId="4" xfId="0" applyNumberFormat="1" applyFont="1" applyFill="1" applyBorder="1"/>
    <xf numFmtId="4" fontId="51" fillId="5" borderId="4" xfId="0" applyNumberFormat="1" applyFont="1" applyFill="1" applyBorder="1"/>
    <xf numFmtId="4" fontId="52" fillId="5" borderId="4" xfId="0" applyNumberFormat="1" applyFont="1" applyFill="1" applyBorder="1"/>
    <xf numFmtId="0" fontId="45" fillId="5" borderId="4" xfId="0" applyFont="1" applyFill="1" applyBorder="1" applyAlignment="1">
      <alignment wrapText="1"/>
    </xf>
    <xf numFmtId="3" fontId="51" fillId="5" borderId="4" xfId="0" applyNumberFormat="1" applyFont="1" applyFill="1" applyBorder="1"/>
    <xf numFmtId="3" fontId="51" fillId="3" borderId="4" xfId="0" applyNumberFormat="1" applyFont="1" applyFill="1" applyBorder="1"/>
    <xf numFmtId="4" fontId="51" fillId="5" borderId="0" xfId="0" applyNumberFormat="1" applyFont="1" applyFill="1" applyAlignment="1">
      <alignment wrapText="1"/>
    </xf>
    <xf numFmtId="4" fontId="51" fillId="3" borderId="0" xfId="0" applyNumberFormat="1" applyFont="1" applyFill="1" applyAlignment="1">
      <alignment vertical="center"/>
    </xf>
    <xf numFmtId="0" fontId="50" fillId="5" borderId="0" xfId="0" applyFont="1" applyFill="1"/>
    <xf numFmtId="0" fontId="50" fillId="5" borderId="0" xfId="0" applyFont="1" applyFill="1" applyAlignment="1">
      <alignment wrapText="1"/>
    </xf>
    <xf numFmtId="0" fontId="3" fillId="10" borderId="32" xfId="0" applyFont="1" applyFill="1" applyBorder="1"/>
    <xf numFmtId="4" fontId="46" fillId="0" borderId="0" xfId="0" applyNumberFormat="1" applyFont="1" applyFill="1"/>
    <xf numFmtId="0" fontId="5" fillId="8" borderId="4" xfId="0" applyFont="1" applyFill="1" applyBorder="1" applyAlignment="1" applyProtection="1">
      <alignment horizontal="center"/>
      <protection locked="0"/>
    </xf>
    <xf numFmtId="0" fontId="6" fillId="8" borderId="4" xfId="1" applyFont="1" applyFill="1" applyBorder="1" applyAlignment="1">
      <alignment horizontal="center"/>
    </xf>
    <xf numFmtId="0" fontId="7" fillId="8" borderId="4" xfId="1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8" fillId="8" borderId="4" xfId="1" applyFont="1" applyFill="1" applyBorder="1" applyAlignment="1">
      <alignment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wrapText="1"/>
    </xf>
    <xf numFmtId="4" fontId="8" fillId="8" borderId="4" xfId="1" applyNumberFormat="1" applyFont="1" applyFill="1" applyBorder="1" applyAlignment="1">
      <alignment horizontal="center" wrapText="1"/>
    </xf>
    <xf numFmtId="0" fontId="10" fillId="8" borderId="4" xfId="2" applyFont="1" applyFill="1" applyBorder="1" applyAlignment="1" applyProtection="1">
      <alignment horizontal="center" wrapText="1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10" fillId="8" borderId="4" xfId="2" applyFont="1" applyFill="1" applyBorder="1" applyAlignment="1" applyProtection="1">
      <alignment horizontal="center" vertical="center" wrapText="1"/>
      <protection locked="0"/>
    </xf>
    <xf numFmtId="0" fontId="8" fillId="8" borderId="4" xfId="1" applyFont="1" applyFill="1" applyBorder="1" applyAlignment="1">
      <alignment horizontal="center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Protection="1">
      <protection locked="0"/>
    </xf>
    <xf numFmtId="0" fontId="3" fillId="8" borderId="4" xfId="0" applyFont="1" applyFill="1" applyBorder="1" applyAlignment="1" applyProtection="1">
      <alignment wrapText="1"/>
      <protection locked="0"/>
    </xf>
    <xf numFmtId="4" fontId="3" fillId="8" borderId="4" xfId="0" applyNumberFormat="1" applyFont="1" applyFill="1" applyBorder="1" applyProtection="1">
      <protection locked="0"/>
    </xf>
    <xf numFmtId="2" fontId="3" fillId="8" borderId="4" xfId="0" applyNumberFormat="1" applyFont="1" applyFill="1" applyBorder="1" applyProtection="1">
      <protection locked="0"/>
    </xf>
    <xf numFmtId="0" fontId="7" fillId="8" borderId="4" xfId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2" fontId="3" fillId="0" borderId="3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3" fontId="3" fillId="0" borderId="0" xfId="0" applyNumberFormat="1" applyFont="1" applyFill="1"/>
    <xf numFmtId="4" fontId="5" fillId="0" borderId="0" xfId="0" applyNumberFormat="1" applyFont="1" applyFill="1"/>
    <xf numFmtId="0" fontId="3" fillId="0" borderId="0" xfId="0" applyFont="1" applyFill="1"/>
    <xf numFmtId="4" fontId="51" fillId="0" borderId="0" xfId="0" applyNumberFormat="1" applyFont="1" applyFill="1"/>
    <xf numFmtId="0" fontId="3" fillId="3" borderId="4" xfId="0" applyFont="1" applyFill="1" applyBorder="1" applyAlignment="1" applyProtection="1">
      <alignment wrapText="1"/>
      <protection locked="0"/>
    </xf>
    <xf numFmtId="3" fontId="3" fillId="3" borderId="4" xfId="0" applyNumberFormat="1" applyFont="1" applyFill="1" applyBorder="1" applyAlignment="1" applyProtection="1">
      <alignment wrapText="1"/>
      <protection locked="0"/>
    </xf>
    <xf numFmtId="3" fontId="5" fillId="3" borderId="4" xfId="0" applyNumberFormat="1" applyFont="1" applyFill="1" applyBorder="1" applyAlignment="1" applyProtection="1">
      <alignment wrapText="1"/>
      <protection locked="0"/>
    </xf>
    <xf numFmtId="2" fontId="3" fillId="8" borderId="6" xfId="0" applyNumberFormat="1" applyFont="1" applyFill="1" applyBorder="1"/>
    <xf numFmtId="2" fontId="3" fillId="8" borderId="38" xfId="0" applyNumberFormat="1" applyFont="1" applyFill="1" applyBorder="1"/>
    <xf numFmtId="4" fontId="3" fillId="8" borderId="1" xfId="0" applyNumberFormat="1" applyFont="1" applyFill="1" applyBorder="1"/>
    <xf numFmtId="4" fontId="3" fillId="8" borderId="64" xfId="0" applyNumberFormat="1" applyFont="1" applyFill="1" applyBorder="1"/>
    <xf numFmtId="4" fontId="52" fillId="3" borderId="1" xfId="0" applyNumberFormat="1" applyFont="1" applyFill="1" applyBorder="1"/>
    <xf numFmtId="4" fontId="51" fillId="0" borderId="4" xfId="0" applyNumberFormat="1" applyFont="1" applyBorder="1"/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/>
    <xf numFmtId="4" fontId="5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Fill="1" applyBorder="1"/>
    <xf numFmtId="4" fontId="5" fillId="0" borderId="0" xfId="0" applyNumberFormat="1" applyFont="1" applyFill="1" applyBorder="1"/>
    <xf numFmtId="0" fontId="4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7" fillId="7" borderId="4" xfId="1" applyFont="1" applyFill="1" applyBorder="1" applyAlignment="1">
      <alignment horizontal="center"/>
    </xf>
    <xf numFmtId="0" fontId="6" fillId="7" borderId="4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7" fillId="7" borderId="4" xfId="1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8" fillId="7" borderId="4" xfId="1" applyFont="1" applyFill="1" applyBorder="1" applyAlignment="1">
      <alignment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wrapText="1"/>
    </xf>
    <xf numFmtId="4" fontId="8" fillId="7" borderId="4" xfId="1" applyNumberFormat="1" applyFont="1" applyFill="1" applyBorder="1" applyAlignment="1">
      <alignment horizontal="center" wrapText="1"/>
    </xf>
    <xf numFmtId="0" fontId="10" fillId="7" borderId="4" xfId="2" applyFont="1" applyFill="1" applyBorder="1" applyAlignment="1" applyProtection="1">
      <alignment horizontal="center" wrapText="1"/>
      <protection locked="0"/>
    </xf>
    <xf numFmtId="0" fontId="10" fillId="7" borderId="1" xfId="2" applyFont="1" applyFill="1" applyBorder="1" applyAlignment="1" applyProtection="1">
      <alignment horizontal="center" wrapText="1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10" fillId="7" borderId="4" xfId="2" applyFont="1" applyFill="1" applyBorder="1" applyAlignment="1" applyProtection="1">
      <alignment horizontal="center" vertical="center" wrapText="1"/>
      <protection locked="0"/>
    </xf>
    <xf numFmtId="0" fontId="10" fillId="7" borderId="1" xfId="2" applyFont="1" applyFill="1" applyBorder="1" applyAlignment="1" applyProtection="1">
      <alignment horizontal="center" vertical="center" wrapText="1"/>
      <protection locked="0"/>
    </xf>
    <xf numFmtId="0" fontId="8" fillId="7" borderId="4" xfId="1" applyFont="1" applyFill="1" applyBorder="1" applyAlignment="1">
      <alignment horizontal="center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/>
    <xf numFmtId="0" fontId="3" fillId="7" borderId="4" xfId="0" applyFont="1" applyFill="1" applyBorder="1" applyAlignment="1" applyProtection="1">
      <alignment wrapText="1"/>
      <protection locked="0"/>
    </xf>
    <xf numFmtId="0" fontId="5" fillId="7" borderId="4" xfId="0" applyFont="1" applyFill="1" applyBorder="1" applyProtection="1">
      <protection locked="0"/>
    </xf>
    <xf numFmtId="4" fontId="5" fillId="7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/>
    <xf numFmtId="0" fontId="3" fillId="0" borderId="4" xfId="0" applyFont="1" applyFill="1" applyBorder="1"/>
    <xf numFmtId="0" fontId="3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wrapText="1"/>
    </xf>
    <xf numFmtId="3" fontId="5" fillId="3" borderId="4" xfId="0" applyNumberFormat="1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3" fillId="7" borderId="4" xfId="0" applyFont="1" applyFill="1" applyBorder="1" applyAlignment="1">
      <alignment horizontal="center"/>
    </xf>
    <xf numFmtId="0" fontId="51" fillId="5" borderId="4" xfId="0" applyFont="1" applyFill="1" applyBorder="1" applyAlignment="1">
      <alignment wrapText="1"/>
    </xf>
    <xf numFmtId="4" fontId="53" fillId="3" borderId="4" xfId="0" applyNumberFormat="1" applyFont="1" applyFill="1" applyBorder="1" applyAlignment="1">
      <alignment wrapText="1"/>
    </xf>
    <xf numFmtId="4" fontId="51" fillId="8" borderId="4" xfId="0" applyNumberFormat="1" applyFont="1" applyFill="1" applyBorder="1"/>
    <xf numFmtId="4" fontId="3" fillId="5" borderId="2" xfId="0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0" fontId="54" fillId="0" borderId="0" xfId="0" applyFont="1"/>
    <xf numFmtId="0" fontId="0" fillId="0" borderId="4" xfId="0" applyBorder="1"/>
    <xf numFmtId="0" fontId="0" fillId="5" borderId="4" xfId="0" applyFill="1" applyBorder="1"/>
    <xf numFmtId="4" fontId="51" fillId="3" borderId="4" xfId="0" applyNumberFormat="1" applyFont="1" applyFill="1" applyBorder="1" applyAlignment="1">
      <alignment horizontal="right"/>
    </xf>
    <xf numFmtId="0" fontId="15" fillId="5" borderId="4" xfId="0" applyFont="1" applyFill="1" applyBorder="1" applyAlignment="1">
      <alignment wrapText="1"/>
    </xf>
    <xf numFmtId="0" fontId="50" fillId="5" borderId="4" xfId="0" applyFont="1" applyFill="1" applyBorder="1"/>
    <xf numFmtId="4" fontId="24" fillId="0" borderId="29" xfId="0" applyNumberFormat="1" applyFont="1" applyBorder="1" applyAlignment="1">
      <alignment horizontal="right" vertical="center"/>
    </xf>
    <xf numFmtId="0" fontId="0" fillId="0" borderId="48" xfId="0" applyBorder="1"/>
    <xf numFmtId="4" fontId="24" fillId="0" borderId="22" xfId="0" applyNumberFormat="1" applyFont="1" applyFill="1" applyBorder="1" applyAlignment="1">
      <alignment horizontal="right" vertical="center"/>
    </xf>
    <xf numFmtId="166" fontId="29" fillId="0" borderId="48" xfId="0" applyNumberFormat="1" applyFont="1" applyBorder="1" applyAlignment="1">
      <alignment horizontal="center" vertical="center"/>
    </xf>
    <xf numFmtId="4" fontId="29" fillId="0" borderId="48" xfId="0" applyNumberFormat="1" applyFont="1" applyBorder="1" applyAlignment="1">
      <alignment horizontal="right" vertical="center"/>
    </xf>
    <xf numFmtId="4" fontId="0" fillId="0" borderId="26" xfId="0" applyNumberFormat="1" applyBorder="1"/>
    <xf numFmtId="0" fontId="0" fillId="0" borderId="69" xfId="0" applyBorder="1"/>
    <xf numFmtId="0" fontId="21" fillId="0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39" fillId="7" borderId="19" xfId="1" applyFont="1" applyFill="1" applyBorder="1" applyAlignment="1">
      <alignment horizontal="center"/>
    </xf>
    <xf numFmtId="0" fontId="39" fillId="7" borderId="21" xfId="1" applyFont="1" applyFill="1" applyBorder="1" applyAlignment="1">
      <alignment horizontal="center"/>
    </xf>
    <xf numFmtId="0" fontId="39" fillId="7" borderId="60" xfId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2" fillId="4" borderId="18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/>
    </xf>
    <xf numFmtId="0" fontId="40" fillId="8" borderId="3" xfId="0" applyFont="1" applyFill="1" applyBorder="1" applyAlignment="1">
      <alignment horizontal="center"/>
    </xf>
    <xf numFmtId="0" fontId="40" fillId="8" borderId="2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 applyProtection="1">
      <alignment horizontal="center"/>
      <protection locked="0"/>
    </xf>
    <xf numFmtId="0" fontId="42" fillId="10" borderId="65" xfId="0" applyFont="1" applyFill="1" applyBorder="1" applyAlignment="1">
      <alignment horizontal="center"/>
    </xf>
    <xf numFmtId="0" fontId="42" fillId="10" borderId="66" xfId="0" applyFont="1" applyFill="1" applyBorder="1" applyAlignment="1">
      <alignment horizontal="center"/>
    </xf>
    <xf numFmtId="0" fontId="42" fillId="10" borderId="67" xfId="0" applyFont="1" applyFill="1" applyBorder="1" applyAlignment="1">
      <alignment horizontal="center"/>
    </xf>
    <xf numFmtId="0" fontId="16" fillId="8" borderId="68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wrapText="1"/>
    </xf>
    <xf numFmtId="0" fontId="41" fillId="8" borderId="61" xfId="0" applyFont="1" applyFill="1" applyBorder="1" applyAlignment="1">
      <alignment horizontal="center"/>
    </xf>
    <xf numFmtId="0" fontId="41" fillId="8" borderId="62" xfId="0" applyFont="1" applyFill="1" applyBorder="1" applyAlignment="1">
      <alignment horizontal="center"/>
    </xf>
    <xf numFmtId="0" fontId="41" fillId="8" borderId="63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0" fillId="8" borderId="4" xfId="0" applyFill="1" applyBorder="1" applyAlignment="1">
      <alignment horizontal="center" wrapText="1"/>
    </xf>
    <xf numFmtId="0" fontId="40" fillId="7" borderId="1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center"/>
    </xf>
    <xf numFmtId="0" fontId="40" fillId="7" borderId="2" xfId="0" applyFont="1" applyFill="1" applyBorder="1" applyAlignment="1">
      <alignment horizontal="center"/>
    </xf>
    <xf numFmtId="0" fontId="41" fillId="7" borderId="1" xfId="0" applyFont="1" applyFill="1" applyBorder="1" applyAlignment="1">
      <alignment horizontal="center" vertical="center"/>
    </xf>
    <xf numFmtId="0" fontId="41" fillId="7" borderId="3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2" fillId="9" borderId="1" xfId="0" applyFont="1" applyFill="1" applyBorder="1" applyAlignment="1">
      <alignment horizontal="center"/>
    </xf>
    <xf numFmtId="0" fontId="42" fillId="9" borderId="3" xfId="0" applyFont="1" applyFill="1" applyBorder="1" applyAlignment="1">
      <alignment horizontal="center"/>
    </xf>
    <xf numFmtId="0" fontId="42" fillId="9" borderId="2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 wrapText="1"/>
      <protection locked="0"/>
    </xf>
    <xf numFmtId="4" fontId="50" fillId="5" borderId="4" xfId="0" applyNumberFormat="1" applyFont="1" applyFill="1" applyBorder="1" applyAlignment="1">
      <alignment horizontal="center" wrapText="1"/>
    </xf>
    <xf numFmtId="4" fontId="8" fillId="2" borderId="6" xfId="1" applyNumberFormat="1" applyFont="1" applyFill="1" applyBorder="1" applyAlignment="1">
      <alignment horizontal="center" vertical="center"/>
    </xf>
    <xf numFmtId="4" fontId="8" fillId="2" borderId="7" xfId="1" applyNumberFormat="1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39" fillId="8" borderId="1" xfId="1" applyFont="1" applyFill="1" applyBorder="1" applyAlignment="1">
      <alignment horizontal="center" vertical="center" wrapText="1"/>
    </xf>
    <xf numFmtId="0" fontId="39" fillId="8" borderId="3" xfId="1" applyFont="1" applyFill="1" applyBorder="1" applyAlignment="1">
      <alignment horizontal="center" vertical="center" wrapText="1"/>
    </xf>
    <xf numFmtId="0" fontId="39" fillId="8" borderId="2" xfId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center" wrapText="1"/>
    </xf>
    <xf numFmtId="0" fontId="17" fillId="0" borderId="33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36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20" fillId="2" borderId="37" xfId="1" applyFont="1" applyFill="1" applyBorder="1" applyAlignment="1">
      <alignment horizontal="center" vertical="center" wrapText="1"/>
    </xf>
    <xf numFmtId="0" fontId="20" fillId="2" borderId="43" xfId="1" applyFont="1" applyFill="1" applyBorder="1" applyAlignment="1">
      <alignment horizontal="center" vertical="center" wrapText="1"/>
    </xf>
    <xf numFmtId="0" fontId="20" fillId="2" borderId="47" xfId="1" applyFont="1" applyFill="1" applyBorder="1" applyAlignment="1">
      <alignment horizontal="center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 wrapText="1"/>
    </xf>
    <xf numFmtId="4" fontId="20" fillId="2" borderId="38" xfId="1" applyNumberFormat="1" applyFont="1" applyFill="1" applyBorder="1" applyAlignment="1">
      <alignment horizontal="center" vertical="center" wrapText="1"/>
    </xf>
    <xf numFmtId="4" fontId="20" fillId="2" borderId="26" xfId="1" applyNumberFormat="1" applyFont="1" applyFill="1" applyBorder="1" applyAlignment="1">
      <alignment horizontal="center" vertical="center" wrapText="1"/>
    </xf>
    <xf numFmtId="4" fontId="20" fillId="2" borderId="37" xfId="1" applyNumberFormat="1" applyFont="1" applyFill="1" applyBorder="1" applyAlignment="1">
      <alignment horizontal="center" vertical="center" wrapText="1"/>
    </xf>
    <xf numFmtId="4" fontId="20" fillId="2" borderId="25" xfId="1" applyNumberFormat="1" applyFont="1" applyFill="1" applyBorder="1" applyAlignment="1">
      <alignment horizontal="center" vertical="center" wrapText="1"/>
    </xf>
    <xf numFmtId="4" fontId="20" fillId="2" borderId="9" xfId="1" applyNumberFormat="1" applyFont="1" applyFill="1" applyBorder="1" applyAlignment="1">
      <alignment horizontal="center" vertical="center" wrapText="1"/>
    </xf>
    <xf numFmtId="4" fontId="20" fillId="2" borderId="29" xfId="1" applyNumberFormat="1" applyFont="1" applyFill="1" applyBorder="1" applyAlignment="1">
      <alignment horizontal="center" vertical="center" wrapText="1"/>
    </xf>
    <xf numFmtId="0" fontId="20" fillId="2" borderId="38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4" fontId="20" fillId="2" borderId="10" xfId="1" applyNumberFormat="1" applyFont="1" applyFill="1" applyBorder="1" applyAlignment="1">
      <alignment horizontal="center" vertical="center" wrapText="1"/>
    </xf>
    <xf numFmtId="0" fontId="14" fillId="0" borderId="39" xfId="2" applyFont="1" applyBorder="1" applyAlignment="1" applyProtection="1">
      <alignment horizontal="center" vertical="center" wrapText="1"/>
      <protection locked="0"/>
    </xf>
    <xf numFmtId="0" fontId="14" fillId="0" borderId="40" xfId="2" applyFont="1" applyBorder="1" applyAlignment="1" applyProtection="1">
      <alignment horizontal="center" vertical="center" wrapText="1"/>
      <protection locked="0"/>
    </xf>
    <xf numFmtId="0" fontId="14" fillId="0" borderId="36" xfId="2" applyFont="1" applyBorder="1" applyAlignment="1" applyProtection="1">
      <alignment horizontal="center" vertical="center" wrapText="1"/>
      <protection locked="0"/>
    </xf>
    <xf numFmtId="0" fontId="20" fillId="2" borderId="5" xfId="1" applyFont="1" applyFill="1" applyBorder="1" applyAlignment="1">
      <alignment horizontal="center" vertical="center"/>
    </xf>
    <xf numFmtId="0" fontId="20" fillId="2" borderId="29" xfId="1" applyFont="1" applyFill="1" applyBorder="1" applyAlignment="1">
      <alignment horizontal="center" vertical="center"/>
    </xf>
    <xf numFmtId="4" fontId="20" fillId="2" borderId="4" xfId="1" applyNumberFormat="1" applyFont="1" applyFill="1" applyBorder="1" applyAlignment="1">
      <alignment horizontal="center" vertical="center"/>
    </xf>
    <xf numFmtId="4" fontId="20" fillId="2" borderId="48" xfId="1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</cellXfs>
  <cellStyles count="5">
    <cellStyle name="Normal" xfId="0" builtinId="0"/>
    <cellStyle name="Normal 2" xfId="1"/>
    <cellStyle name="Normal 2 3" xfId="2"/>
    <cellStyle name="Normal 3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a/Desktop/2019%20GOD/&#1055;&#1059;&#1058;&#1045;&#1042;&#1048;%202019/&#1058;&#1040;&#1041;&#1045;&#1051;&#1040;%20&#1055;&#1059;&#1058;&#1045;&#1042;&#1048;%20&#1057;&#1056;&#1041;&#1048;&#1032;&#1040;&#1064;&#1059;&#1052;&#1045;%20-&#1054;&#1057;&#1058;&#1040;&#1051;&#1048;/Tabela%20SRBIJA&#352;UME%20%20RADNA%2021%20-22%20iz%20dva%20d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tevi SRBIJAŠUME "/>
      <sheetName val="mostovi sa rekapitulacijom"/>
      <sheetName val="Остали корисници пријава "/>
      <sheetName val="rekapitulacija  ostali "/>
      <sheetName val="Србијашуме "/>
      <sheetName val="Уговори остали"/>
      <sheetName val="srbijašume predlog "/>
    </sheetNames>
    <sheetDataSet>
      <sheetData sheetId="0"/>
      <sheetData sheetId="1">
        <row r="29">
          <cell r="E29">
            <v>7975500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abSelected="1" workbookViewId="0">
      <pane ySplit="3" topLeftCell="A34" activePane="bottomLeft" state="frozen"/>
      <selection pane="bottomLeft" activeCell="J10" sqref="J10"/>
    </sheetView>
  </sheetViews>
  <sheetFormatPr defaultRowHeight="14.4" x14ac:dyDescent="0.3"/>
  <cols>
    <col min="11" max="11" width="9.5546875" customWidth="1"/>
    <col min="13" max="13" width="10.88671875" style="352" customWidth="1"/>
    <col min="14" max="14" width="14" style="334" customWidth="1"/>
    <col min="16" max="16" width="17.33203125" style="366" customWidth="1"/>
    <col min="17" max="17" width="15.109375" customWidth="1"/>
    <col min="18" max="18" width="15" bestFit="1" customWidth="1"/>
    <col min="19" max="19" width="12.44140625" bestFit="1" customWidth="1"/>
  </cols>
  <sheetData>
    <row r="1" spans="1:19" x14ac:dyDescent="0.3">
      <c r="A1" s="607" t="s">
        <v>445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9" ht="42" x14ac:dyDescent="0.3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539" t="s">
        <v>6</v>
      </c>
      <c r="G2" s="540"/>
      <c r="H2" s="541"/>
      <c r="I2" s="215" t="s">
        <v>7</v>
      </c>
      <c r="J2" s="215" t="s">
        <v>8</v>
      </c>
      <c r="K2" s="6" t="s">
        <v>9</v>
      </c>
      <c r="L2" s="215" t="s">
        <v>10</v>
      </c>
      <c r="M2" s="542" t="s">
        <v>11</v>
      </c>
      <c r="N2" s="543"/>
      <c r="O2" s="544"/>
    </row>
    <row r="3" spans="1:19" ht="20.399999999999999" x14ac:dyDescent="0.3">
      <c r="A3" s="8"/>
      <c r="B3" s="9"/>
      <c r="C3" s="10"/>
      <c r="D3" s="11"/>
      <c r="E3" s="15" t="s">
        <v>15</v>
      </c>
      <c r="F3" s="16" t="s">
        <v>16</v>
      </c>
      <c r="G3" s="16" t="s">
        <v>17</v>
      </c>
      <c r="H3" s="16" t="s">
        <v>18</v>
      </c>
      <c r="I3" s="12"/>
      <c r="J3" s="12"/>
      <c r="K3" s="11"/>
      <c r="L3" s="12"/>
      <c r="M3" s="343" t="s">
        <v>12</v>
      </c>
      <c r="N3" s="14" t="s">
        <v>13</v>
      </c>
      <c r="O3" s="13" t="s">
        <v>14</v>
      </c>
      <c r="P3" s="367" t="s">
        <v>415</v>
      </c>
    </row>
    <row r="4" spans="1:19" x14ac:dyDescent="0.3">
      <c r="A4" s="8"/>
      <c r="B4" s="9"/>
      <c r="C4" s="10"/>
      <c r="D4" s="11"/>
      <c r="I4" s="12"/>
      <c r="J4" s="12"/>
      <c r="K4" s="11"/>
      <c r="L4" s="17" t="s">
        <v>15</v>
      </c>
      <c r="M4" s="343" t="s">
        <v>19</v>
      </c>
      <c r="N4" s="14" t="s">
        <v>19</v>
      </c>
      <c r="O4" s="13" t="s">
        <v>19</v>
      </c>
      <c r="P4" s="367"/>
    </row>
    <row r="5" spans="1:19" x14ac:dyDescent="0.3">
      <c r="A5" s="545" t="s">
        <v>404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7"/>
      <c r="P5" s="367"/>
    </row>
    <row r="6" spans="1:19" ht="31.8" x14ac:dyDescent="0.3">
      <c r="A6" s="223" t="s">
        <v>20</v>
      </c>
      <c r="B6" s="223" t="s">
        <v>21</v>
      </c>
      <c r="C6" s="224"/>
      <c r="D6" s="225" t="s">
        <v>22</v>
      </c>
      <c r="E6" s="224">
        <v>1.61</v>
      </c>
      <c r="F6" s="224"/>
      <c r="G6" s="224"/>
      <c r="H6" s="224"/>
      <c r="I6" s="224">
        <v>1.61</v>
      </c>
      <c r="J6" s="224"/>
      <c r="K6" s="225" t="s">
        <v>23</v>
      </c>
      <c r="L6" s="224">
        <v>1.61</v>
      </c>
      <c r="M6" s="235">
        <v>3542000</v>
      </c>
      <c r="N6" s="228">
        <v>3542000</v>
      </c>
      <c r="O6" s="224" t="s">
        <v>24</v>
      </c>
      <c r="P6" s="369">
        <f>N6</f>
        <v>3542000</v>
      </c>
      <c r="Q6" s="364"/>
    </row>
    <row r="7" spans="1:19" x14ac:dyDescent="0.3">
      <c r="A7" s="223"/>
      <c r="B7" s="227" t="s">
        <v>25</v>
      </c>
      <c r="C7" s="227"/>
      <c r="D7" s="225"/>
      <c r="E7" s="224"/>
      <c r="F7" s="224"/>
      <c r="G7" s="224"/>
      <c r="H7" s="224"/>
      <c r="I7" s="224"/>
      <c r="J7" s="224"/>
      <c r="K7" s="225"/>
      <c r="L7" s="224"/>
      <c r="M7" s="236">
        <v>3542000</v>
      </c>
      <c r="N7" s="228">
        <v>3542000</v>
      </c>
      <c r="O7" s="229" t="s">
        <v>24</v>
      </c>
      <c r="P7" s="367"/>
    </row>
    <row r="8" spans="1:19" x14ac:dyDescent="0.3">
      <c r="A8" s="548" t="s">
        <v>405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50"/>
      <c r="Q8" s="362"/>
    </row>
    <row r="9" spans="1:19" ht="21.6" x14ac:dyDescent="0.3">
      <c r="A9" s="216" t="s">
        <v>26</v>
      </c>
      <c r="B9" s="216" t="s">
        <v>21</v>
      </c>
      <c r="C9" s="218" t="s">
        <v>27</v>
      </c>
      <c r="D9" s="218" t="s">
        <v>28</v>
      </c>
      <c r="E9" s="217">
        <v>0.45400000000000001</v>
      </c>
      <c r="F9" s="217"/>
      <c r="G9" s="217"/>
      <c r="H9" s="217"/>
      <c r="I9" s="217">
        <v>0.45400000000000001</v>
      </c>
      <c r="J9" s="217"/>
      <c r="K9" s="218" t="s">
        <v>29</v>
      </c>
      <c r="L9" s="217">
        <v>0.45400000000000001</v>
      </c>
      <c r="M9" s="251">
        <v>998800</v>
      </c>
      <c r="N9" s="221">
        <f>SUM(I9*2200000)</f>
        <v>998800</v>
      </c>
      <c r="O9" s="217" t="s">
        <v>30</v>
      </c>
      <c r="P9" s="376">
        <v>0</v>
      </c>
      <c r="Q9" s="538" t="s">
        <v>422</v>
      </c>
      <c r="R9" s="538"/>
      <c r="S9" s="538"/>
    </row>
    <row r="10" spans="1:19" ht="21.6" x14ac:dyDescent="0.3">
      <c r="A10" s="216"/>
      <c r="B10" s="216" t="s">
        <v>21</v>
      </c>
      <c r="C10" s="218" t="s">
        <v>27</v>
      </c>
      <c r="D10" s="218" t="s">
        <v>31</v>
      </c>
      <c r="E10" s="217">
        <v>0.63</v>
      </c>
      <c r="F10" s="217"/>
      <c r="G10" s="217"/>
      <c r="H10" s="217">
        <v>0.63</v>
      </c>
      <c r="I10" s="217"/>
      <c r="J10" s="217"/>
      <c r="K10" s="218" t="s">
        <v>32</v>
      </c>
      <c r="L10" s="217">
        <v>0.63</v>
      </c>
      <c r="M10" s="251">
        <v>1764000</v>
      </c>
      <c r="N10" s="221">
        <f>SUM(H10*2800000)</f>
        <v>1764000</v>
      </c>
      <c r="O10" s="217" t="s">
        <v>30</v>
      </c>
      <c r="P10" s="377">
        <v>1764000</v>
      </c>
      <c r="Q10" s="362"/>
    </row>
    <row r="11" spans="1:19" ht="21.6" x14ac:dyDescent="0.3">
      <c r="A11" s="216"/>
      <c r="B11" s="216" t="s">
        <v>21</v>
      </c>
      <c r="C11" s="218" t="s">
        <v>33</v>
      </c>
      <c r="D11" s="218" t="s">
        <v>34</v>
      </c>
      <c r="E11" s="217">
        <v>2.8690000000000002</v>
      </c>
      <c r="F11" s="217"/>
      <c r="G11" s="217"/>
      <c r="H11" s="217">
        <v>2.8690000000000002</v>
      </c>
      <c r="I11" s="217"/>
      <c r="J11" s="217"/>
      <c r="K11" s="218" t="s">
        <v>35</v>
      </c>
      <c r="L11" s="217">
        <v>2.8690000000000002</v>
      </c>
      <c r="M11" s="251">
        <v>8033200</v>
      </c>
      <c r="N11" s="221">
        <f t="shared" ref="N11:N13" si="0">SUM(H11*2800000)</f>
        <v>8033200.0000000009</v>
      </c>
      <c r="O11" s="217" t="s">
        <v>30</v>
      </c>
      <c r="P11" s="377">
        <v>8033200</v>
      </c>
      <c r="Q11" s="364"/>
    </row>
    <row r="12" spans="1:19" ht="31.8" x14ac:dyDescent="0.3">
      <c r="A12" s="216"/>
      <c r="B12" s="216" t="s">
        <v>21</v>
      </c>
      <c r="C12" s="218" t="s">
        <v>33</v>
      </c>
      <c r="D12" s="218" t="s">
        <v>416</v>
      </c>
      <c r="E12" s="217">
        <v>2.2149999999999999</v>
      </c>
      <c r="F12" s="217"/>
      <c r="G12" s="217"/>
      <c r="H12" s="217">
        <v>2.2149999999999999</v>
      </c>
      <c r="I12" s="217"/>
      <c r="J12" s="217"/>
      <c r="K12" s="218" t="s">
        <v>36</v>
      </c>
      <c r="L12" s="217">
        <v>2.2149999999999999</v>
      </c>
      <c r="M12" s="251">
        <v>6202000</v>
      </c>
      <c r="N12" s="221">
        <f t="shared" si="0"/>
        <v>6202000</v>
      </c>
      <c r="O12" s="217" t="s">
        <v>30</v>
      </c>
      <c r="P12" s="377">
        <v>6202000</v>
      </c>
      <c r="Q12" s="364"/>
    </row>
    <row r="13" spans="1:19" ht="31.8" x14ac:dyDescent="0.3">
      <c r="A13" s="216"/>
      <c r="B13" s="216" t="s">
        <v>21</v>
      </c>
      <c r="C13" s="218" t="s">
        <v>37</v>
      </c>
      <c r="D13" s="218" t="s">
        <v>418</v>
      </c>
      <c r="E13" s="217">
        <v>0.60399999999999998</v>
      </c>
      <c r="F13" s="217"/>
      <c r="G13" s="217"/>
      <c r="H13" s="217">
        <v>0.60399999999999998</v>
      </c>
      <c r="I13" s="217"/>
      <c r="J13" s="217"/>
      <c r="K13" s="218" t="s">
        <v>38</v>
      </c>
      <c r="L13" s="217">
        <v>0.60399999999999998</v>
      </c>
      <c r="M13" s="251">
        <v>1691200</v>
      </c>
      <c r="N13" s="221">
        <f t="shared" si="0"/>
        <v>1691200</v>
      </c>
      <c r="O13" s="217" t="s">
        <v>30</v>
      </c>
      <c r="P13" s="377">
        <v>1691200</v>
      </c>
      <c r="Q13" s="364"/>
    </row>
    <row r="14" spans="1:19" ht="31.8" customHeight="1" x14ac:dyDescent="0.3">
      <c r="A14" s="216"/>
      <c r="B14" s="216" t="s">
        <v>21</v>
      </c>
      <c r="C14" s="218" t="s">
        <v>33</v>
      </c>
      <c r="D14" s="218" t="s">
        <v>39</v>
      </c>
      <c r="E14" s="217">
        <v>1.6579999999999999</v>
      </c>
      <c r="F14" s="217"/>
      <c r="G14" s="217"/>
      <c r="H14" s="217">
        <v>0.92900000000000005</v>
      </c>
      <c r="I14" s="217">
        <v>0.72899999999999998</v>
      </c>
      <c r="J14" s="217"/>
      <c r="K14" s="218" t="s">
        <v>40</v>
      </c>
      <c r="L14" s="217">
        <v>1.6579999999999999</v>
      </c>
      <c r="M14" s="251">
        <v>4205000</v>
      </c>
      <c r="N14" s="221">
        <v>4205000</v>
      </c>
      <c r="O14" s="217" t="s">
        <v>30</v>
      </c>
      <c r="P14" s="377">
        <v>3857400</v>
      </c>
      <c r="Q14" s="538" t="s">
        <v>427</v>
      </c>
      <c r="R14" s="538"/>
      <c r="S14" s="538"/>
    </row>
    <row r="15" spans="1:19" ht="21.6" x14ac:dyDescent="0.3">
      <c r="A15" s="216"/>
      <c r="B15" s="216" t="s">
        <v>21</v>
      </c>
      <c r="C15" s="218" t="s">
        <v>37</v>
      </c>
      <c r="D15" s="218" t="s">
        <v>41</v>
      </c>
      <c r="E15" s="217">
        <v>0.5</v>
      </c>
      <c r="F15" s="217"/>
      <c r="G15" s="217"/>
      <c r="H15" s="217">
        <v>0.5</v>
      </c>
      <c r="I15" s="217"/>
      <c r="J15" s="217"/>
      <c r="K15" s="218" t="s">
        <v>42</v>
      </c>
      <c r="L15" s="217">
        <v>0.5</v>
      </c>
      <c r="M15" s="251">
        <v>1400000</v>
      </c>
      <c r="N15" s="221">
        <f>SUM(H15*2800000)</f>
        <v>1400000</v>
      </c>
      <c r="O15" s="217" t="s">
        <v>30</v>
      </c>
      <c r="P15" s="377">
        <v>1400000</v>
      </c>
      <c r="Q15" s="364"/>
    </row>
    <row r="16" spans="1:19" x14ac:dyDescent="0.3">
      <c r="A16" s="216"/>
      <c r="B16" s="220" t="s">
        <v>25</v>
      </c>
      <c r="C16" s="220"/>
      <c r="D16" s="218"/>
      <c r="E16" s="222">
        <v>8.93</v>
      </c>
      <c r="F16" s="217"/>
      <c r="G16" s="217"/>
      <c r="H16" s="222">
        <v>7.7469999999999999</v>
      </c>
      <c r="I16" s="222">
        <v>1.1830000000000001</v>
      </c>
      <c r="J16" s="217"/>
      <c r="K16" s="218"/>
      <c r="L16" s="222">
        <v>8.93</v>
      </c>
      <c r="M16" s="344">
        <v>24294200</v>
      </c>
      <c r="N16" s="221">
        <f>SUM(N9:N15)</f>
        <v>24294200</v>
      </c>
      <c r="O16" s="222" t="s">
        <v>30</v>
      </c>
      <c r="P16" s="369">
        <f>SUM(P9:P15)</f>
        <v>22947800</v>
      </c>
    </row>
    <row r="17" spans="1:17" x14ac:dyDescent="0.3">
      <c r="A17" s="485" t="s">
        <v>0</v>
      </c>
      <c r="B17" s="486"/>
      <c r="C17" s="431"/>
      <c r="D17" s="431"/>
      <c r="E17" s="432" t="s">
        <v>437</v>
      </c>
      <c r="F17" s="432"/>
      <c r="G17" s="432"/>
      <c r="H17" s="432"/>
      <c r="I17" s="433"/>
      <c r="J17" s="434"/>
      <c r="K17" s="218"/>
      <c r="L17" s="428"/>
      <c r="M17" s="429"/>
      <c r="N17" s="430"/>
      <c r="O17" s="428"/>
      <c r="P17" s="426"/>
    </row>
    <row r="18" spans="1:17" x14ac:dyDescent="0.3">
      <c r="A18" s="220" t="s">
        <v>43</v>
      </c>
      <c r="B18" s="220"/>
      <c r="C18" s="220"/>
      <c r="D18" s="435" t="s">
        <v>44</v>
      </c>
      <c r="E18" s="435"/>
      <c r="F18" s="435"/>
      <c r="G18" s="436"/>
      <c r="H18" s="436"/>
      <c r="I18" s="437"/>
      <c r="J18" s="436"/>
      <c r="K18" s="218"/>
      <c r="L18" s="428"/>
      <c r="M18" s="429"/>
      <c r="N18" s="430"/>
      <c r="O18" s="428"/>
      <c r="P18" s="426"/>
    </row>
    <row r="19" spans="1:17" ht="30.6" x14ac:dyDescent="0.3">
      <c r="A19" s="438" t="s">
        <v>1</v>
      </c>
      <c r="B19" s="439" t="s">
        <v>2</v>
      </c>
      <c r="C19" s="440" t="s">
        <v>3</v>
      </c>
      <c r="D19" s="441" t="s">
        <v>4</v>
      </c>
      <c r="E19" s="442" t="s">
        <v>45</v>
      </c>
      <c r="F19" s="443" t="s">
        <v>46</v>
      </c>
      <c r="G19" s="444" t="s">
        <v>47</v>
      </c>
      <c r="H19" s="445" t="s">
        <v>11</v>
      </c>
      <c r="I19" s="446"/>
      <c r="J19" s="445"/>
      <c r="K19" s="218"/>
      <c r="L19" s="428"/>
      <c r="M19" s="429"/>
      <c r="N19" s="430"/>
      <c r="O19" s="428"/>
      <c r="P19" s="426"/>
    </row>
    <row r="20" spans="1:17" ht="30.6" x14ac:dyDescent="0.3">
      <c r="A20" s="438"/>
      <c r="B20" s="447"/>
      <c r="C20" s="440"/>
      <c r="D20" s="441"/>
      <c r="E20" s="442"/>
      <c r="F20" s="443"/>
      <c r="G20" s="444"/>
      <c r="H20" s="448" t="s">
        <v>12</v>
      </c>
      <c r="I20" s="449" t="s">
        <v>13</v>
      </c>
      <c r="J20" s="448" t="s">
        <v>14</v>
      </c>
      <c r="K20" s="460" t="s">
        <v>428</v>
      </c>
      <c r="L20" s="428"/>
      <c r="M20" s="429"/>
      <c r="N20" s="430"/>
      <c r="O20" s="428"/>
      <c r="P20" s="426"/>
    </row>
    <row r="21" spans="1:17" x14ac:dyDescent="0.3">
      <c r="A21" s="438"/>
      <c r="B21" s="447"/>
      <c r="C21" s="440"/>
      <c r="D21" s="441"/>
      <c r="E21" s="442"/>
      <c r="F21" s="450" t="s">
        <v>48</v>
      </c>
      <c r="G21" s="450" t="s">
        <v>48</v>
      </c>
      <c r="H21" s="448"/>
      <c r="I21" s="449"/>
      <c r="J21" s="448"/>
      <c r="K21" s="459"/>
      <c r="L21" s="428"/>
      <c r="M21" s="429"/>
      <c r="N21" s="430"/>
      <c r="O21" s="428"/>
      <c r="P21" s="426"/>
    </row>
    <row r="22" spans="1:17" x14ac:dyDescent="0.3">
      <c r="A22" s="438"/>
      <c r="B22" s="451"/>
      <c r="C22" s="440"/>
      <c r="D22" s="441"/>
      <c r="E22" s="442"/>
      <c r="F22" s="450"/>
      <c r="G22" s="450"/>
      <c r="H22" s="448" t="s">
        <v>19</v>
      </c>
      <c r="I22" s="449" t="s">
        <v>19</v>
      </c>
      <c r="J22" s="448" t="s">
        <v>19</v>
      </c>
      <c r="K22" s="459"/>
      <c r="L22" s="428"/>
      <c r="M22" s="429"/>
      <c r="N22" s="430"/>
      <c r="O22" s="428"/>
      <c r="P22" s="426"/>
    </row>
    <row r="23" spans="1:17" ht="21.6" x14ac:dyDescent="0.3">
      <c r="A23" s="216" t="s">
        <v>49</v>
      </c>
      <c r="B23" s="216" t="s">
        <v>50</v>
      </c>
      <c r="C23" s="217" t="s">
        <v>51</v>
      </c>
      <c r="D23" s="218" t="s">
        <v>39</v>
      </c>
      <c r="E23" s="217" t="s">
        <v>52</v>
      </c>
      <c r="F23" s="465">
        <v>7</v>
      </c>
      <c r="G23" s="465">
        <v>5</v>
      </c>
      <c r="H23" s="217" t="s">
        <v>53</v>
      </c>
      <c r="I23" s="452" t="s">
        <v>53</v>
      </c>
      <c r="J23" s="217" t="s">
        <v>30</v>
      </c>
      <c r="K23" s="461">
        <v>770000</v>
      </c>
      <c r="L23" s="428"/>
      <c r="M23" s="429"/>
      <c r="N23" s="430"/>
      <c r="O23" s="428"/>
      <c r="P23" s="426"/>
    </row>
    <row r="24" spans="1:17" x14ac:dyDescent="0.3">
      <c r="A24" s="258"/>
      <c r="B24" s="220" t="s">
        <v>25</v>
      </c>
      <c r="C24" s="220"/>
      <c r="D24" s="453"/>
      <c r="E24" s="258"/>
      <c r="F24" s="258"/>
      <c r="G24" s="258"/>
      <c r="H24" s="454" t="s">
        <v>53</v>
      </c>
      <c r="I24" s="455">
        <v>770000</v>
      </c>
      <c r="J24" s="454" t="s">
        <v>30</v>
      </c>
      <c r="K24" s="462">
        <f>SUM(K23)</f>
        <v>770000</v>
      </c>
      <c r="L24" s="428"/>
      <c r="M24" s="429"/>
      <c r="N24" s="430"/>
      <c r="O24" s="428"/>
      <c r="P24" s="426"/>
    </row>
    <row r="25" spans="1:17" x14ac:dyDescent="0.3">
      <c r="A25" s="456"/>
      <c r="B25" s="404"/>
      <c r="C25" s="404"/>
      <c r="D25" s="424"/>
      <c r="E25" s="425"/>
      <c r="F25" s="457"/>
      <c r="G25" s="457"/>
      <c r="H25" s="425"/>
      <c r="I25" s="425"/>
      <c r="J25" s="458"/>
      <c r="K25" s="427"/>
      <c r="L25" s="428"/>
      <c r="M25" s="429"/>
      <c r="N25" s="430"/>
      <c r="O25" s="428"/>
      <c r="P25" s="426"/>
    </row>
    <row r="26" spans="1:17" x14ac:dyDescent="0.3">
      <c r="A26" s="495" t="s">
        <v>438</v>
      </c>
      <c r="B26" s="496"/>
      <c r="C26" s="496"/>
      <c r="D26" s="496"/>
      <c r="E26" s="496"/>
      <c r="F26" s="496"/>
      <c r="G26" s="496"/>
      <c r="H26" s="496"/>
      <c r="I26" s="496"/>
      <c r="J26" s="496"/>
      <c r="K26" s="516"/>
      <c r="L26" s="516"/>
      <c r="M26" s="516"/>
      <c r="N26" s="516"/>
      <c r="O26" s="517"/>
      <c r="P26" s="367"/>
    </row>
    <row r="27" spans="1:17" ht="31.8" x14ac:dyDescent="0.3">
      <c r="A27" s="223" t="s">
        <v>54</v>
      </c>
      <c r="B27" s="223" t="s">
        <v>21</v>
      </c>
      <c r="C27" s="224"/>
      <c r="D27" s="225" t="s">
        <v>55</v>
      </c>
      <c r="E27" s="224">
        <v>2.1619999999999999</v>
      </c>
      <c r="F27" s="224"/>
      <c r="G27" s="224"/>
      <c r="H27" s="224">
        <v>2.1619999999999999</v>
      </c>
      <c r="I27" s="224"/>
      <c r="J27" s="224"/>
      <c r="K27" s="225" t="s">
        <v>56</v>
      </c>
      <c r="L27" s="224">
        <v>2.1619999999999999</v>
      </c>
      <c r="M27" s="235">
        <v>6053600</v>
      </c>
      <c r="N27" s="228">
        <v>6053600</v>
      </c>
      <c r="O27" s="224" t="s">
        <v>30</v>
      </c>
      <c r="P27" s="367"/>
    </row>
    <row r="28" spans="1:17" ht="21.6" x14ac:dyDescent="0.3">
      <c r="A28" s="223"/>
      <c r="B28" s="223" t="s">
        <v>21</v>
      </c>
      <c r="C28" s="224"/>
      <c r="D28" s="225" t="s">
        <v>57</v>
      </c>
      <c r="E28" s="224">
        <v>0.84399999999999997</v>
      </c>
      <c r="F28" s="224"/>
      <c r="G28" s="224"/>
      <c r="H28" s="224">
        <v>0.84399999999999997</v>
      </c>
      <c r="I28" s="224"/>
      <c r="J28" s="224"/>
      <c r="K28" s="225" t="s">
        <v>58</v>
      </c>
      <c r="L28" s="224">
        <v>0.84399999999999997</v>
      </c>
      <c r="M28" s="235">
        <v>2363200</v>
      </c>
      <c r="N28" s="228">
        <v>2363200</v>
      </c>
      <c r="O28" s="224" t="s">
        <v>30</v>
      </c>
      <c r="P28" s="367"/>
    </row>
    <row r="29" spans="1:17" x14ac:dyDescent="0.3">
      <c r="A29" s="223"/>
      <c r="B29" s="227" t="s">
        <v>25</v>
      </c>
      <c r="C29" s="227"/>
      <c r="D29" s="225"/>
      <c r="E29" s="229">
        <v>3.0059999999999998</v>
      </c>
      <c r="F29" s="224"/>
      <c r="G29" s="224"/>
      <c r="H29" s="229">
        <v>3.0059999999999998</v>
      </c>
      <c r="I29" s="224"/>
      <c r="J29" s="224"/>
      <c r="K29" s="225"/>
      <c r="L29" s="229">
        <v>3.0059999999999998</v>
      </c>
      <c r="M29" s="236">
        <v>8416800</v>
      </c>
      <c r="N29" s="228">
        <v>8416800</v>
      </c>
      <c r="O29" s="229" t="s">
        <v>30</v>
      </c>
      <c r="P29" s="369">
        <f>N29</f>
        <v>8416800</v>
      </c>
      <c r="Q29" s="364"/>
    </row>
    <row r="30" spans="1:17" x14ac:dyDescent="0.3">
      <c r="A30" s="499" t="s">
        <v>406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500"/>
      <c r="P30" s="367"/>
    </row>
    <row r="31" spans="1:17" ht="21.6" x14ac:dyDescent="0.3">
      <c r="A31" s="216" t="s">
        <v>59</v>
      </c>
      <c r="B31" s="216" t="s">
        <v>60</v>
      </c>
      <c r="C31" s="218" t="s">
        <v>61</v>
      </c>
      <c r="D31" s="218" t="s">
        <v>62</v>
      </c>
      <c r="E31" s="217">
        <v>4.0339999999999998</v>
      </c>
      <c r="F31" s="217"/>
      <c r="G31" s="217"/>
      <c r="H31" s="217"/>
      <c r="I31" s="217">
        <v>4.0339999999999998</v>
      </c>
      <c r="J31" s="217"/>
      <c r="K31" s="218" t="s">
        <v>63</v>
      </c>
      <c r="L31" s="217">
        <v>4.0339999999999998</v>
      </c>
      <c r="M31" s="251">
        <v>10726572</v>
      </c>
      <c r="N31" s="221">
        <v>8874800</v>
      </c>
      <c r="O31" s="219">
        <v>1851772</v>
      </c>
      <c r="P31" s="367"/>
    </row>
    <row r="32" spans="1:17" x14ac:dyDescent="0.3">
      <c r="A32" s="216"/>
      <c r="B32" s="220" t="s">
        <v>25</v>
      </c>
      <c r="C32" s="220"/>
      <c r="D32" s="218"/>
      <c r="E32" s="222">
        <v>4.0339999999999998</v>
      </c>
      <c r="F32" s="222"/>
      <c r="G32" s="222"/>
      <c r="H32" s="222"/>
      <c r="I32" s="222">
        <v>4.0339999999999998</v>
      </c>
      <c r="J32" s="222"/>
      <c r="K32" s="230" t="s">
        <v>63</v>
      </c>
      <c r="L32" s="222">
        <v>4.0339999999999998</v>
      </c>
      <c r="M32" s="344">
        <v>10726572</v>
      </c>
      <c r="N32" s="221">
        <v>8874800</v>
      </c>
      <c r="O32" s="221">
        <v>1851772</v>
      </c>
      <c r="P32" s="369">
        <f>N32</f>
        <v>8874800</v>
      </c>
      <c r="Q32" s="364"/>
    </row>
    <row r="33" spans="1:18" x14ac:dyDescent="0.3">
      <c r="A33" s="495" t="s">
        <v>407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7"/>
      <c r="P33" s="367"/>
    </row>
    <row r="34" spans="1:18" ht="84.6" x14ac:dyDescent="0.3">
      <c r="A34" s="231" t="s">
        <v>64</v>
      </c>
      <c r="B34" s="224" t="s">
        <v>65</v>
      </c>
      <c r="C34" s="224" t="s">
        <v>66</v>
      </c>
      <c r="D34" s="225" t="s">
        <v>67</v>
      </c>
      <c r="E34" s="224">
        <v>1.2929999999999999</v>
      </c>
      <c r="F34" s="224"/>
      <c r="G34" s="224"/>
      <c r="H34" s="224">
        <v>1.2929999999999999</v>
      </c>
      <c r="I34" s="224"/>
      <c r="J34" s="232"/>
      <c r="K34" s="233" t="s">
        <v>68</v>
      </c>
      <c r="L34" s="224">
        <v>1.2929999999999999</v>
      </c>
      <c r="M34" s="235">
        <v>4385059.3</v>
      </c>
      <c r="N34" s="228">
        <v>3620400</v>
      </c>
      <c r="O34" s="226">
        <v>764659.3</v>
      </c>
      <c r="P34" s="370">
        <f>N34</f>
        <v>3620400</v>
      </c>
      <c r="Q34" s="375" t="s">
        <v>430</v>
      </c>
      <c r="R34" s="341"/>
    </row>
    <row r="35" spans="1:18" ht="21.6" x14ac:dyDescent="0.3">
      <c r="A35" s="234"/>
      <c r="B35" s="224"/>
      <c r="C35" s="224"/>
      <c r="D35" s="225" t="s">
        <v>69</v>
      </c>
      <c r="E35" s="224">
        <v>3.67</v>
      </c>
      <c r="F35" s="224"/>
      <c r="G35" s="224"/>
      <c r="H35" s="224"/>
      <c r="I35" s="235">
        <v>3670</v>
      </c>
      <c r="J35" s="224"/>
      <c r="K35" s="233" t="s">
        <v>70</v>
      </c>
      <c r="L35" s="224">
        <v>3.67</v>
      </c>
      <c r="M35" s="235">
        <v>10869691</v>
      </c>
      <c r="N35" s="228">
        <v>8074000</v>
      </c>
      <c r="O35" s="226">
        <v>2795691</v>
      </c>
      <c r="P35" s="373">
        <v>0</v>
      </c>
    </row>
    <row r="36" spans="1:18" x14ac:dyDescent="0.3">
      <c r="A36" s="223"/>
      <c r="B36" s="227" t="s">
        <v>25</v>
      </c>
      <c r="C36" s="227"/>
      <c r="D36" s="225"/>
      <c r="E36" s="229">
        <v>4.9630000000000001</v>
      </c>
      <c r="F36" s="229"/>
      <c r="G36" s="229"/>
      <c r="H36" s="229">
        <v>1.2929999999999999</v>
      </c>
      <c r="I36" s="236">
        <v>3670</v>
      </c>
      <c r="J36" s="229"/>
      <c r="K36" s="237"/>
      <c r="L36" s="229">
        <v>4.9630000000000001</v>
      </c>
      <c r="M36" s="236">
        <v>15254750.300000001</v>
      </c>
      <c r="N36" s="228">
        <v>11694400</v>
      </c>
      <c r="O36" s="228">
        <v>3560350.3</v>
      </c>
      <c r="P36" s="369">
        <f>SUM(P34:P35)</f>
        <v>3620400</v>
      </c>
    </row>
    <row r="37" spans="1:18" x14ac:dyDescent="0.3">
      <c r="A37" s="518" t="s">
        <v>408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20"/>
      <c r="P37" s="367"/>
    </row>
    <row r="38" spans="1:18" ht="21.6" x14ac:dyDescent="0.3">
      <c r="A38" s="216"/>
      <c r="B38" s="238" t="s">
        <v>71</v>
      </c>
      <c r="C38" s="239" t="s">
        <v>72</v>
      </c>
      <c r="D38" s="240" t="s">
        <v>73</v>
      </c>
      <c r="E38" s="241" t="s">
        <v>74</v>
      </c>
      <c r="F38" s="217"/>
      <c r="G38" s="217"/>
      <c r="H38" s="217"/>
      <c r="I38" s="241" t="s">
        <v>74</v>
      </c>
      <c r="J38" s="217"/>
      <c r="K38" s="218"/>
      <c r="L38" s="217">
        <v>0.80600000000000005</v>
      </c>
      <c r="M38" s="251">
        <v>2284155</v>
      </c>
      <c r="N38" s="221">
        <v>1773200</v>
      </c>
      <c r="O38" s="219">
        <v>510955</v>
      </c>
      <c r="P38" s="367"/>
    </row>
    <row r="39" spans="1:18" x14ac:dyDescent="0.3">
      <c r="A39" s="216"/>
      <c r="B39" s="220" t="s">
        <v>25</v>
      </c>
      <c r="C39" s="220"/>
      <c r="D39" s="218"/>
      <c r="E39" s="241" t="s">
        <v>74</v>
      </c>
      <c r="F39" s="217"/>
      <c r="G39" s="217"/>
      <c r="H39" s="217"/>
      <c r="I39" s="241" t="s">
        <v>74</v>
      </c>
      <c r="J39" s="217"/>
      <c r="K39" s="218"/>
      <c r="L39" s="222">
        <v>0.80600000000000005</v>
      </c>
      <c r="M39" s="344">
        <v>2284155</v>
      </c>
      <c r="N39" s="221">
        <v>1773200</v>
      </c>
      <c r="O39" s="221">
        <v>510955</v>
      </c>
      <c r="P39" s="369">
        <f>N39</f>
        <v>1773200</v>
      </c>
      <c r="Q39" s="364"/>
    </row>
    <row r="40" spans="1:18" x14ac:dyDescent="0.3">
      <c r="A40" s="495" t="s">
        <v>409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7"/>
      <c r="P40" s="367"/>
    </row>
    <row r="41" spans="1:18" ht="40.799999999999997" x14ac:dyDescent="0.3">
      <c r="A41" s="242" t="s">
        <v>75</v>
      </c>
      <c r="B41" s="243" t="s">
        <v>76</v>
      </c>
      <c r="C41" s="244" t="s">
        <v>77</v>
      </c>
      <c r="D41" s="245" t="s">
        <v>78</v>
      </c>
      <c r="E41" s="224">
        <v>3.15</v>
      </c>
      <c r="F41" s="224"/>
      <c r="G41" s="224"/>
      <c r="H41" s="224"/>
      <c r="I41" s="224">
        <v>3.15</v>
      </c>
      <c r="J41" s="224"/>
      <c r="K41" s="245" t="s">
        <v>79</v>
      </c>
      <c r="L41" s="224">
        <v>3.15</v>
      </c>
      <c r="M41" s="235">
        <v>8988217.5600000005</v>
      </c>
      <c r="N41" s="323">
        <v>6930000</v>
      </c>
      <c r="O41" s="226">
        <f>+M41-N41</f>
        <v>2058217.5600000005</v>
      </c>
      <c r="P41" s="367"/>
    </row>
    <row r="42" spans="1:18" x14ac:dyDescent="0.3">
      <c r="A42" s="223"/>
      <c r="B42" s="227" t="s">
        <v>25</v>
      </c>
      <c r="C42" s="227"/>
      <c r="D42" s="225"/>
      <c r="E42" s="224"/>
      <c r="F42" s="224"/>
      <c r="G42" s="224"/>
      <c r="H42" s="224"/>
      <c r="I42" s="224"/>
      <c r="J42" s="224"/>
      <c r="K42" s="225"/>
      <c r="L42" s="224"/>
      <c r="M42" s="236">
        <f>SUM(M41:M41)</f>
        <v>8988217.5600000005</v>
      </c>
      <c r="N42" s="228">
        <v>6930000</v>
      </c>
      <c r="O42" s="228">
        <f>SUM(O41:O41)</f>
        <v>2058217.5600000005</v>
      </c>
      <c r="P42" s="369">
        <f>N42</f>
        <v>6930000</v>
      </c>
      <c r="Q42" s="364"/>
    </row>
    <row r="43" spans="1:18" x14ac:dyDescent="0.3">
      <c r="A43" s="498" t="s">
        <v>410</v>
      </c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500"/>
      <c r="P43" s="367"/>
    </row>
    <row r="44" spans="1:18" ht="21.6" x14ac:dyDescent="0.3">
      <c r="A44" s="216"/>
      <c r="B44" s="216"/>
      <c r="C44" s="217" t="s">
        <v>80</v>
      </c>
      <c r="D44" s="218" t="s">
        <v>81</v>
      </c>
      <c r="E44" s="246">
        <v>3809</v>
      </c>
      <c r="F44" s="247"/>
      <c r="G44" s="247"/>
      <c r="H44" s="246">
        <v>3809</v>
      </c>
      <c r="I44" s="248"/>
      <c r="J44" s="249"/>
      <c r="K44" s="250" t="s">
        <v>82</v>
      </c>
      <c r="L44" s="248">
        <v>3.8090000000000002</v>
      </c>
      <c r="M44" s="246">
        <v>14050738.949999999</v>
      </c>
      <c r="N44" s="324">
        <v>10665200</v>
      </c>
      <c r="O44" s="249">
        <v>3385538.95</v>
      </c>
      <c r="P44" s="367"/>
    </row>
    <row r="45" spans="1:18" ht="31.8" x14ac:dyDescent="0.3">
      <c r="A45" s="216"/>
      <c r="B45" s="216"/>
      <c r="C45" s="217" t="s">
        <v>80</v>
      </c>
      <c r="D45" s="218" t="s">
        <v>83</v>
      </c>
      <c r="E45" s="251">
        <v>3942</v>
      </c>
      <c r="F45" s="217"/>
      <c r="G45" s="217"/>
      <c r="H45" s="217"/>
      <c r="I45" s="251">
        <v>3942</v>
      </c>
      <c r="J45" s="217"/>
      <c r="K45" s="250" t="s">
        <v>84</v>
      </c>
      <c r="L45" s="217">
        <v>3.9420000000000002</v>
      </c>
      <c r="M45" s="251">
        <v>8729229.8800000008</v>
      </c>
      <c r="N45" s="221">
        <v>8672400</v>
      </c>
      <c r="O45" s="249">
        <v>56829.88</v>
      </c>
      <c r="P45" s="367"/>
    </row>
    <row r="46" spans="1:18" x14ac:dyDescent="0.3">
      <c r="A46" s="216"/>
      <c r="B46" s="220" t="s">
        <v>25</v>
      </c>
      <c r="C46" s="220"/>
      <c r="D46" s="218"/>
      <c r="E46" s="217"/>
      <c r="F46" s="217"/>
      <c r="G46" s="217"/>
      <c r="H46" s="217"/>
      <c r="I46" s="217"/>
      <c r="J46" s="217"/>
      <c r="K46" s="218"/>
      <c r="L46" s="252"/>
      <c r="M46" s="344">
        <v>22779968.829999998</v>
      </c>
      <c r="N46" s="221">
        <v>19337600</v>
      </c>
      <c r="O46" s="221">
        <v>3442368.83</v>
      </c>
      <c r="P46" s="369">
        <f>N46</f>
        <v>19337600</v>
      </c>
      <c r="Q46" s="364"/>
    </row>
    <row r="47" spans="1:18" x14ac:dyDescent="0.3">
      <c r="A47" s="501" t="s">
        <v>411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3"/>
      <c r="P47" s="367"/>
    </row>
    <row r="48" spans="1:18" ht="52.2" x14ac:dyDescent="0.3">
      <c r="A48" s="253" t="s">
        <v>85</v>
      </c>
      <c r="B48" s="253" t="s">
        <v>86</v>
      </c>
      <c r="C48" s="224"/>
      <c r="D48" s="237" t="s">
        <v>87</v>
      </c>
      <c r="E48" s="254">
        <v>9632.49</v>
      </c>
      <c r="F48" s="224"/>
      <c r="G48" s="224"/>
      <c r="H48" s="254">
        <v>9632.49</v>
      </c>
      <c r="I48" s="254">
        <v>9632.49</v>
      </c>
      <c r="J48" s="224"/>
      <c r="K48" s="253" t="s">
        <v>88</v>
      </c>
      <c r="L48" s="254">
        <v>9632.49</v>
      </c>
      <c r="M48" s="255">
        <v>25000000</v>
      </c>
      <c r="N48" s="254">
        <v>23092593.809999999</v>
      </c>
      <c r="O48" s="255">
        <v>1907407</v>
      </c>
      <c r="P48" s="466" t="s">
        <v>426</v>
      </c>
    </row>
    <row r="49" spans="1:18" x14ac:dyDescent="0.3">
      <c r="A49" s="223"/>
      <c r="B49" s="227" t="s">
        <v>25</v>
      </c>
      <c r="C49" s="227"/>
      <c r="D49" s="225"/>
      <c r="E49" s="254">
        <v>9632.49</v>
      </c>
      <c r="F49" s="224"/>
      <c r="G49" s="224"/>
      <c r="H49" s="254">
        <v>9632.49</v>
      </c>
      <c r="I49" s="254">
        <v>9632.49</v>
      </c>
      <c r="J49" s="224"/>
      <c r="K49" s="256" t="s">
        <v>88</v>
      </c>
      <c r="L49" s="254">
        <v>9632.49</v>
      </c>
      <c r="M49" s="255">
        <v>25000000</v>
      </c>
      <c r="N49" s="254">
        <v>23092593.809999999</v>
      </c>
      <c r="O49" s="255">
        <v>1907407</v>
      </c>
      <c r="P49" s="368">
        <f>2.251*2200000</f>
        <v>4952200</v>
      </c>
      <c r="Q49" s="364"/>
      <c r="R49" s="364"/>
    </row>
    <row r="50" spans="1:18" x14ac:dyDescent="0.3">
      <c r="A50" s="498" t="s">
        <v>412</v>
      </c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367"/>
    </row>
    <row r="51" spans="1:18" ht="46.8" x14ac:dyDescent="0.3">
      <c r="A51" s="216"/>
      <c r="B51" s="257" t="s">
        <v>50</v>
      </c>
      <c r="C51" s="217" t="s">
        <v>89</v>
      </c>
      <c r="D51" s="218" t="s">
        <v>90</v>
      </c>
      <c r="E51" s="258">
        <v>0.67</v>
      </c>
      <c r="F51" s="249"/>
      <c r="G51" s="249"/>
      <c r="H51" s="249">
        <v>0.67</v>
      </c>
      <c r="I51" s="248"/>
      <c r="J51" s="249"/>
      <c r="K51" s="250" t="s">
        <v>91</v>
      </c>
      <c r="L51" s="248">
        <v>0.67</v>
      </c>
      <c r="M51" s="345">
        <v>1896539</v>
      </c>
      <c r="N51" s="325">
        <v>1876000</v>
      </c>
      <c r="O51" s="259">
        <v>20539</v>
      </c>
      <c r="P51" s="365" t="s">
        <v>420</v>
      </c>
    </row>
    <row r="52" spans="1:18" x14ac:dyDescent="0.3">
      <c r="A52" s="216"/>
      <c r="B52" s="260" t="s">
        <v>25</v>
      </c>
      <c r="C52" s="261"/>
      <c r="D52" s="262"/>
      <c r="E52" s="222"/>
      <c r="F52" s="219"/>
      <c r="G52" s="219"/>
      <c r="H52" s="219"/>
      <c r="I52" s="217"/>
      <c r="J52" s="217"/>
      <c r="K52" s="218"/>
      <c r="L52" s="217"/>
      <c r="M52" s="344">
        <f ca="1">SUM(M51:M52)</f>
        <v>1896539</v>
      </c>
      <c r="N52" s="221">
        <f>SUM(N51:N51)</f>
        <v>1876000</v>
      </c>
      <c r="O52" s="342">
        <f ca="1">SUM(O51:O52)</f>
        <v>20539</v>
      </c>
      <c r="P52" s="374">
        <v>0</v>
      </c>
    </row>
    <row r="53" spans="1:18" x14ac:dyDescent="0.3">
      <c r="A53" s="495" t="s">
        <v>413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7"/>
      <c r="P53" s="367"/>
    </row>
    <row r="54" spans="1:18" ht="46.8" customHeight="1" x14ac:dyDescent="0.3">
      <c r="A54" s="223"/>
      <c r="B54" s="223" t="s">
        <v>50</v>
      </c>
      <c r="C54" s="224"/>
      <c r="D54" s="225" t="s">
        <v>96</v>
      </c>
      <c r="E54" s="278">
        <v>4.05</v>
      </c>
      <c r="F54" s="224"/>
      <c r="G54" s="224"/>
      <c r="H54" s="224"/>
      <c r="I54" s="224">
        <v>4.05</v>
      </c>
      <c r="J54" s="224"/>
      <c r="K54" s="245" t="s">
        <v>97</v>
      </c>
      <c r="L54" s="224">
        <v>4.05</v>
      </c>
      <c r="M54" s="235">
        <v>11205111</v>
      </c>
      <c r="N54" s="326">
        <f>L54*2200000</f>
        <v>8910000</v>
      </c>
      <c r="O54" s="226">
        <f>M54-N54</f>
        <v>2295111</v>
      </c>
      <c r="P54" s="467">
        <f t="shared" ref="P54:P60" si="1">N54</f>
        <v>8910000</v>
      </c>
      <c r="Q54" s="469" t="s">
        <v>417</v>
      </c>
    </row>
    <row r="55" spans="1:18" ht="21.6" x14ac:dyDescent="0.3">
      <c r="A55" s="223"/>
      <c r="B55" s="223" t="s">
        <v>50</v>
      </c>
      <c r="C55" s="224"/>
      <c r="D55" s="245" t="s">
        <v>98</v>
      </c>
      <c r="E55" s="278">
        <v>1.57</v>
      </c>
      <c r="F55" s="224"/>
      <c r="G55" s="224"/>
      <c r="H55" s="224"/>
      <c r="I55" s="224">
        <v>1.57</v>
      </c>
      <c r="J55" s="224"/>
      <c r="K55" s="245" t="s">
        <v>99</v>
      </c>
      <c r="L55" s="224">
        <v>1.57</v>
      </c>
      <c r="M55" s="235">
        <f>L55*2200000</f>
        <v>3454000</v>
      </c>
      <c r="N55" s="326">
        <f>L55*2200000</f>
        <v>3454000</v>
      </c>
      <c r="O55" s="226">
        <f>M55-N55</f>
        <v>0</v>
      </c>
      <c r="P55" s="372">
        <f t="shared" si="1"/>
        <v>3454000</v>
      </c>
    </row>
    <row r="56" spans="1:18" ht="31.8" x14ac:dyDescent="0.3">
      <c r="A56" s="223"/>
      <c r="B56" s="267" t="s">
        <v>50</v>
      </c>
      <c r="C56" s="268"/>
      <c r="D56" s="269" t="s">
        <v>100</v>
      </c>
      <c r="E56" s="270">
        <v>2.56</v>
      </c>
      <c r="F56" s="271"/>
      <c r="G56" s="271"/>
      <c r="H56" s="270">
        <v>1.08</v>
      </c>
      <c r="I56" s="270">
        <v>1.48</v>
      </c>
      <c r="J56" s="271"/>
      <c r="K56" s="272" t="s">
        <v>101</v>
      </c>
      <c r="L56" s="224">
        <v>1.48</v>
      </c>
      <c r="M56" s="235">
        <f>L56*2200000</f>
        <v>3256000</v>
      </c>
      <c r="N56" s="228">
        <f>L56*2200000</f>
        <v>3256000</v>
      </c>
      <c r="O56" s="226">
        <f>M56-N56</f>
        <v>0</v>
      </c>
      <c r="P56" s="468">
        <v>0</v>
      </c>
    </row>
    <row r="57" spans="1:18" ht="21.6" x14ac:dyDescent="0.3">
      <c r="A57" s="223"/>
      <c r="B57" s="273"/>
      <c r="C57" s="274"/>
      <c r="D57" s="275"/>
      <c r="E57" s="276"/>
      <c r="F57" s="277"/>
      <c r="G57" s="277"/>
      <c r="H57" s="276"/>
      <c r="I57" s="276"/>
      <c r="J57" s="277"/>
      <c r="K57" s="245" t="s">
        <v>102</v>
      </c>
      <c r="L57" s="224">
        <v>1.08</v>
      </c>
      <c r="M57" s="235">
        <f>L57*2800000</f>
        <v>3024000</v>
      </c>
      <c r="N57" s="228">
        <f>L57*2800000</f>
        <v>3024000</v>
      </c>
      <c r="O57" s="226">
        <f>M57-N57</f>
        <v>0</v>
      </c>
      <c r="P57" s="468">
        <v>0</v>
      </c>
    </row>
    <row r="58" spans="1:18" ht="31.8" x14ac:dyDescent="0.3">
      <c r="A58" s="223"/>
      <c r="B58" s="223" t="s">
        <v>103</v>
      </c>
      <c r="C58" s="224" t="s">
        <v>104</v>
      </c>
      <c r="D58" s="245" t="s">
        <v>105</v>
      </c>
      <c r="E58" s="224">
        <v>2.4500000000000002</v>
      </c>
      <c r="F58" s="224"/>
      <c r="G58" s="224"/>
      <c r="H58" s="224">
        <v>2.4500000000000002</v>
      </c>
      <c r="I58" s="224"/>
      <c r="J58" s="224"/>
      <c r="K58" s="245" t="s">
        <v>106</v>
      </c>
      <c r="L58" s="224">
        <v>2.4500000000000002</v>
      </c>
      <c r="M58" s="235">
        <v>11662000</v>
      </c>
      <c r="N58" s="228">
        <v>6860000</v>
      </c>
      <c r="O58" s="226">
        <v>4802000</v>
      </c>
      <c r="P58" s="468">
        <v>0</v>
      </c>
    </row>
    <row r="59" spans="1:18" x14ac:dyDescent="0.3">
      <c r="A59" s="223"/>
      <c r="B59" s="223"/>
      <c r="C59" s="224"/>
      <c r="D59" s="225"/>
      <c r="E59" s="224"/>
      <c r="F59" s="224"/>
      <c r="G59" s="224"/>
      <c r="H59" s="224"/>
      <c r="I59" s="224"/>
      <c r="J59" s="224"/>
      <c r="K59" s="225"/>
      <c r="L59" s="224"/>
      <c r="M59" s="235"/>
      <c r="N59" s="228"/>
      <c r="O59" s="226"/>
      <c r="P59" s="468">
        <f t="shared" si="1"/>
        <v>0</v>
      </c>
    </row>
    <row r="60" spans="1:18" x14ac:dyDescent="0.3">
      <c r="A60" s="223"/>
      <c r="B60" s="223"/>
      <c r="C60" s="224"/>
      <c r="D60" s="225"/>
      <c r="E60" s="224"/>
      <c r="F60" s="224"/>
      <c r="G60" s="224"/>
      <c r="H60" s="224"/>
      <c r="I60" s="224"/>
      <c r="J60" s="224"/>
      <c r="K60" s="225"/>
      <c r="L60" s="224"/>
      <c r="M60" s="235"/>
      <c r="N60" s="228"/>
      <c r="O60" s="226"/>
      <c r="P60" s="468">
        <f t="shared" si="1"/>
        <v>0</v>
      </c>
    </row>
    <row r="61" spans="1:18" ht="15" thickBot="1" x14ac:dyDescent="0.35">
      <c r="A61" s="223"/>
      <c r="B61" s="227" t="s">
        <v>25</v>
      </c>
      <c r="C61" s="227"/>
      <c r="D61" s="225"/>
      <c r="E61" s="224">
        <v>10.63</v>
      </c>
      <c r="F61" s="224"/>
      <c r="G61" s="224"/>
      <c r="H61" s="224">
        <v>3.53</v>
      </c>
      <c r="I61" s="224">
        <v>7.1</v>
      </c>
      <c r="J61" s="224"/>
      <c r="K61" s="225"/>
      <c r="L61" s="224">
        <f>L54+L55+L56+L57</f>
        <v>8.18</v>
      </c>
      <c r="M61" s="236">
        <f>SUM(M54:M58)</f>
        <v>32601111</v>
      </c>
      <c r="N61" s="228">
        <f>SUM(N54:N60)</f>
        <v>25504000</v>
      </c>
      <c r="O61" s="226">
        <f>SUM(O54:O58)</f>
        <v>7097111</v>
      </c>
      <c r="P61" s="369">
        <f>SUM(P54:P60)</f>
        <v>12364000</v>
      </c>
      <c r="Q61" s="2"/>
    </row>
    <row r="62" spans="1:18" ht="15" thickBot="1" x14ac:dyDescent="0.35">
      <c r="A62" s="487" t="s">
        <v>414</v>
      </c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9"/>
      <c r="P62" s="367"/>
    </row>
    <row r="63" spans="1:18" ht="81.599999999999994" x14ac:dyDescent="0.3">
      <c r="A63" s="279" t="s">
        <v>107</v>
      </c>
      <c r="B63" s="216" t="s">
        <v>50</v>
      </c>
      <c r="C63" s="218" t="s">
        <v>108</v>
      </c>
      <c r="D63" s="218" t="s">
        <v>109</v>
      </c>
      <c r="E63" s="280">
        <v>2.2610000000000001</v>
      </c>
      <c r="F63" s="280"/>
      <c r="G63" s="280"/>
      <c r="H63" s="280">
        <f>E63-I63</f>
        <v>1.4910000000000001</v>
      </c>
      <c r="I63" s="280">
        <f>0.5+0.27</f>
        <v>0.77</v>
      </c>
      <c r="J63" s="280"/>
      <c r="K63" s="281" t="s">
        <v>110</v>
      </c>
      <c r="L63" s="280">
        <f>E63</f>
        <v>2.2610000000000001</v>
      </c>
      <c r="M63" s="251">
        <f>N63*1.14</f>
        <v>6690431.9999999991</v>
      </c>
      <c r="N63" s="326">
        <f>I63*2200000+H63*2800000</f>
        <v>5868800</v>
      </c>
      <c r="O63" s="251">
        <f>M63-+N63</f>
        <v>821631.99999999907</v>
      </c>
      <c r="P63" s="474">
        <f>N63</f>
        <v>5868800</v>
      </c>
    </row>
    <row r="64" spans="1:18" ht="62.4" x14ac:dyDescent="0.3">
      <c r="A64" s="279"/>
      <c r="B64" s="216" t="s">
        <v>50</v>
      </c>
      <c r="C64" s="218" t="s">
        <v>111</v>
      </c>
      <c r="D64" s="218" t="s">
        <v>112</v>
      </c>
      <c r="E64" s="280">
        <v>1.75</v>
      </c>
      <c r="F64" s="280"/>
      <c r="G64" s="280"/>
      <c r="H64" s="280">
        <f>E64-I64</f>
        <v>1.444</v>
      </c>
      <c r="I64" s="280">
        <f>0.75-0.444</f>
        <v>0.30599999999999999</v>
      </c>
      <c r="J64" s="280"/>
      <c r="K64" s="218" t="s">
        <v>113</v>
      </c>
      <c r="L64" s="280">
        <f>E64</f>
        <v>1.75</v>
      </c>
      <c r="M64" s="251">
        <f>N64*1.19</f>
        <v>5612516</v>
      </c>
      <c r="N64" s="221">
        <f>I64*2200000+H64*2800000</f>
        <v>4716400</v>
      </c>
      <c r="O64" s="251">
        <f>M64-+N64</f>
        <v>896116</v>
      </c>
      <c r="P64" s="378" t="s">
        <v>421</v>
      </c>
    </row>
    <row r="65" spans="1:19" ht="21.6" x14ac:dyDescent="0.3">
      <c r="A65" s="279"/>
      <c r="B65" s="216" t="s">
        <v>50</v>
      </c>
      <c r="C65" s="218" t="s">
        <v>114</v>
      </c>
      <c r="D65" s="218" t="s">
        <v>115</v>
      </c>
      <c r="E65" s="280">
        <v>2.544</v>
      </c>
      <c r="F65" s="280"/>
      <c r="G65" s="280"/>
      <c r="H65" s="280"/>
      <c r="I65" s="280">
        <f>E65</f>
        <v>2.544</v>
      </c>
      <c r="J65" s="280"/>
      <c r="K65" s="218" t="s">
        <v>116</v>
      </c>
      <c r="L65" s="280">
        <f>E65</f>
        <v>2.544</v>
      </c>
      <c r="M65" s="251">
        <f>N65*1.04</f>
        <v>5820672</v>
      </c>
      <c r="N65" s="221">
        <f>I65*2200000</f>
        <v>5596800</v>
      </c>
      <c r="O65" s="251">
        <f>M65-+N65</f>
        <v>223872</v>
      </c>
      <c r="P65" s="378"/>
    </row>
    <row r="66" spans="1:19" ht="21.6" x14ac:dyDescent="0.3">
      <c r="A66" s="279"/>
      <c r="B66" s="216" t="s">
        <v>50</v>
      </c>
      <c r="C66" s="218" t="s">
        <v>117</v>
      </c>
      <c r="D66" s="218" t="s">
        <v>118</v>
      </c>
      <c r="E66" s="280">
        <v>1.097</v>
      </c>
      <c r="F66" s="280"/>
      <c r="G66" s="280"/>
      <c r="H66" s="280"/>
      <c r="I66" s="280">
        <f>E66</f>
        <v>1.097</v>
      </c>
      <c r="J66" s="280"/>
      <c r="K66" s="218" t="s">
        <v>119</v>
      </c>
      <c r="L66" s="280">
        <f>I66</f>
        <v>1.097</v>
      </c>
      <c r="M66" s="251">
        <f>N66*1.19</f>
        <v>2871946</v>
      </c>
      <c r="N66" s="221">
        <f>2200000*I66</f>
        <v>2413400</v>
      </c>
      <c r="O66" s="251">
        <f>M66-+N66</f>
        <v>458546</v>
      </c>
      <c r="P66" s="378"/>
    </row>
    <row r="67" spans="1:19" x14ac:dyDescent="0.3">
      <c r="A67" s="279"/>
      <c r="B67" s="216"/>
      <c r="C67" s="217"/>
      <c r="D67" s="218"/>
      <c r="E67" s="280">
        <f>SUM(E63:E66)</f>
        <v>7.6519999999999992</v>
      </c>
      <c r="F67" s="280"/>
      <c r="G67" s="280"/>
      <c r="H67" s="280">
        <f>SUM(H63:H66)</f>
        <v>2.9350000000000001</v>
      </c>
      <c r="I67" s="280">
        <f>SUM(I63:I66)</f>
        <v>4.7170000000000005</v>
      </c>
      <c r="J67" s="280"/>
      <c r="K67" s="218"/>
      <c r="L67" s="280"/>
      <c r="M67" s="344">
        <f>SUM(M63:M66)</f>
        <v>20995566</v>
      </c>
      <c r="N67" s="221">
        <f>SUM(N63:N66)</f>
        <v>18595400</v>
      </c>
      <c r="O67" s="251"/>
      <c r="P67" s="369">
        <f>SUM(P63:P66)</f>
        <v>5868800</v>
      </c>
    </row>
    <row r="68" spans="1:19" x14ac:dyDescent="0.3">
      <c r="A68" s="495" t="s">
        <v>432</v>
      </c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7"/>
      <c r="P68" s="367"/>
    </row>
    <row r="69" spans="1:19" ht="21.6" x14ac:dyDescent="0.3">
      <c r="A69" s="223"/>
      <c r="B69" s="223" t="s">
        <v>50</v>
      </c>
      <c r="C69" s="224"/>
      <c r="D69" s="225" t="s">
        <v>120</v>
      </c>
      <c r="E69" s="224">
        <v>1.47</v>
      </c>
      <c r="F69" s="224"/>
      <c r="G69" s="224"/>
      <c r="H69" s="224"/>
      <c r="I69" s="232">
        <v>1.4730000000000001</v>
      </c>
      <c r="J69" s="224"/>
      <c r="K69" s="245" t="s">
        <v>121</v>
      </c>
      <c r="L69" s="224">
        <v>1.4730000000000001</v>
      </c>
      <c r="M69" s="235">
        <f>L69*2200000</f>
        <v>3240600</v>
      </c>
      <c r="N69" s="228">
        <f>L69*2200000</f>
        <v>3240600</v>
      </c>
      <c r="O69" s="232"/>
      <c r="P69" s="372">
        <v>3240600</v>
      </c>
      <c r="Q69" s="2"/>
    </row>
    <row r="70" spans="1:19" ht="21.6" x14ac:dyDescent="0.3">
      <c r="A70" s="223"/>
      <c r="B70" s="223" t="s">
        <v>50</v>
      </c>
      <c r="C70" s="224"/>
      <c r="D70" s="245" t="s">
        <v>122</v>
      </c>
      <c r="E70" s="224">
        <v>2.4</v>
      </c>
      <c r="F70" s="224"/>
      <c r="G70" s="224"/>
      <c r="H70" s="224"/>
      <c r="I70" s="224">
        <v>2.4</v>
      </c>
      <c r="J70" s="224"/>
      <c r="K70" s="245" t="s">
        <v>123</v>
      </c>
      <c r="L70" s="224">
        <v>2.4</v>
      </c>
      <c r="M70" s="235">
        <f>L70*2200000</f>
        <v>5280000</v>
      </c>
      <c r="N70" s="228">
        <f>L70*2200000</f>
        <v>5280000</v>
      </c>
      <c r="O70" s="226">
        <f>M70-N70</f>
        <v>0</v>
      </c>
      <c r="P70" s="372">
        <v>5280000</v>
      </c>
      <c r="Q70" s="2"/>
    </row>
    <row r="71" spans="1:19" ht="31.8" x14ac:dyDescent="0.3">
      <c r="A71" s="223"/>
      <c r="B71" s="223" t="s">
        <v>50</v>
      </c>
      <c r="C71" s="224"/>
      <c r="D71" s="245" t="s">
        <v>124</v>
      </c>
      <c r="E71" s="224">
        <v>0.87</v>
      </c>
      <c r="F71" s="224"/>
      <c r="G71" s="224"/>
      <c r="H71" s="224">
        <v>0.87</v>
      </c>
      <c r="I71" s="224"/>
      <c r="J71" s="224"/>
      <c r="K71" s="245" t="s">
        <v>125</v>
      </c>
      <c r="L71" s="224">
        <v>0.87</v>
      </c>
      <c r="M71" s="235">
        <f>L71*2800000</f>
        <v>2436000</v>
      </c>
      <c r="N71" s="228">
        <f>L71*2800000</f>
        <v>2436000</v>
      </c>
      <c r="O71" s="226">
        <f>M71-N71</f>
        <v>0</v>
      </c>
      <c r="P71" s="372">
        <v>2436000</v>
      </c>
      <c r="Q71" s="2"/>
    </row>
    <row r="72" spans="1:19" ht="34.799999999999997" customHeight="1" x14ac:dyDescent="0.3">
      <c r="A72" s="223"/>
      <c r="B72" s="223" t="s">
        <v>50</v>
      </c>
      <c r="C72" s="224"/>
      <c r="D72" s="245" t="s">
        <v>126</v>
      </c>
      <c r="E72" s="224">
        <v>1.32</v>
      </c>
      <c r="F72" s="224"/>
      <c r="G72" s="224">
        <v>1.32</v>
      </c>
      <c r="H72" s="224"/>
      <c r="I72" s="224"/>
      <c r="J72" s="224"/>
      <c r="K72" s="245" t="s">
        <v>127</v>
      </c>
      <c r="L72" s="224">
        <v>1.32</v>
      </c>
      <c r="M72" s="235">
        <v>2525782.338</v>
      </c>
      <c r="N72" s="228">
        <f>L72*1500000</f>
        <v>1980000</v>
      </c>
      <c r="O72" s="226">
        <f>M72-N72</f>
        <v>545782.33799999999</v>
      </c>
      <c r="P72" s="372">
        <v>1980000</v>
      </c>
      <c r="Q72" s="2"/>
    </row>
    <row r="73" spans="1:19" x14ac:dyDescent="0.3">
      <c r="A73" s="223"/>
      <c r="B73" s="227" t="s">
        <v>25</v>
      </c>
      <c r="C73" s="227"/>
      <c r="D73" s="225"/>
      <c r="E73" s="224">
        <f>SUM(E69:E72)</f>
        <v>6.0600000000000005</v>
      </c>
      <c r="F73" s="224"/>
      <c r="G73" s="224">
        <f>G72</f>
        <v>1.32</v>
      </c>
      <c r="H73" s="224">
        <f>H71</f>
        <v>0.87</v>
      </c>
      <c r="I73" s="224" t="e">
        <f>#REF!+I70</f>
        <v>#REF!</v>
      </c>
      <c r="J73" s="224"/>
      <c r="K73" s="225"/>
      <c r="L73" s="224">
        <f>L69+L70+L71+L72</f>
        <v>6.0630000000000006</v>
      </c>
      <c r="M73" s="236">
        <f>SUM(M69:M72)</f>
        <v>13482382.338</v>
      </c>
      <c r="N73" s="326">
        <f>SUM(N69:N72)</f>
        <v>12936600</v>
      </c>
      <c r="O73" s="226">
        <f>SUM(O69:O72)</f>
        <v>545782.33799999999</v>
      </c>
      <c r="P73" s="369">
        <f>SUM(P69:P72)</f>
        <v>12936600</v>
      </c>
      <c r="Q73" s="2"/>
    </row>
    <row r="74" spans="1:19" x14ac:dyDescent="0.3">
      <c r="A74" s="498" t="s">
        <v>433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500"/>
      <c r="P74" s="367"/>
    </row>
    <row r="75" spans="1:19" ht="21.6" x14ac:dyDescent="0.3">
      <c r="A75" s="216"/>
      <c r="B75" s="216" t="s">
        <v>50</v>
      </c>
      <c r="C75" s="217"/>
      <c r="D75" s="218" t="s">
        <v>128</v>
      </c>
      <c r="E75" s="217">
        <v>2.41</v>
      </c>
      <c r="F75" s="217"/>
      <c r="G75" s="217">
        <v>2.41</v>
      </c>
      <c r="H75" s="217"/>
      <c r="I75" s="217"/>
      <c r="J75" s="217"/>
      <c r="K75" s="240" t="s">
        <v>129</v>
      </c>
      <c r="L75" s="217">
        <v>2.41</v>
      </c>
      <c r="M75" s="251">
        <v>4458601.04</v>
      </c>
      <c r="N75" s="326">
        <f>L75*1500000</f>
        <v>3615000</v>
      </c>
      <c r="O75" s="219">
        <f>M75-N75</f>
        <v>843601.04</v>
      </c>
      <c r="P75" s="372">
        <v>3615000</v>
      </c>
      <c r="Q75" s="362"/>
    </row>
    <row r="76" spans="1:19" ht="21.6" x14ac:dyDescent="0.3">
      <c r="A76" s="216"/>
      <c r="B76" s="216" t="s">
        <v>50</v>
      </c>
      <c r="C76" s="217"/>
      <c r="D76" s="240" t="s">
        <v>130</v>
      </c>
      <c r="E76" s="217">
        <v>0.90500000000000003</v>
      </c>
      <c r="F76" s="217"/>
      <c r="G76" s="217">
        <v>0.90500000000000003</v>
      </c>
      <c r="H76" s="217"/>
      <c r="I76" s="217"/>
      <c r="J76" s="217"/>
      <c r="K76" s="240" t="s">
        <v>131</v>
      </c>
      <c r="L76" s="217">
        <v>0.90500000000000003</v>
      </c>
      <c r="M76" s="251">
        <v>1661285.37</v>
      </c>
      <c r="N76" s="326">
        <f>L76*1400000</f>
        <v>1267000</v>
      </c>
      <c r="O76" s="219">
        <f>M76-N76</f>
        <v>394285.37000000011</v>
      </c>
      <c r="P76" s="372">
        <v>1267000</v>
      </c>
      <c r="Q76" s="362"/>
    </row>
    <row r="77" spans="1:19" ht="21.6" x14ac:dyDescent="0.3">
      <c r="A77" s="216"/>
      <c r="B77" s="216" t="s">
        <v>50</v>
      </c>
      <c r="C77" s="217"/>
      <c r="D77" s="240" t="s">
        <v>132</v>
      </c>
      <c r="E77" s="217">
        <v>2.61</v>
      </c>
      <c r="F77" s="217"/>
      <c r="G77" s="217"/>
      <c r="H77" s="217"/>
      <c r="I77" s="217">
        <v>2.61</v>
      </c>
      <c r="J77" s="217"/>
      <c r="K77" s="240" t="s">
        <v>133</v>
      </c>
      <c r="L77" s="217">
        <v>2.61</v>
      </c>
      <c r="M77" s="251">
        <v>6519816</v>
      </c>
      <c r="N77" s="326">
        <f>L77*2200000</f>
        <v>5742000</v>
      </c>
      <c r="O77" s="219">
        <f>M77-N77</f>
        <v>777816</v>
      </c>
      <c r="P77" s="372">
        <v>5742000</v>
      </c>
      <c r="Q77" s="362"/>
    </row>
    <row r="78" spans="1:19" ht="31.8" x14ac:dyDescent="0.3">
      <c r="A78" s="216"/>
      <c r="B78" s="216" t="s">
        <v>50</v>
      </c>
      <c r="C78" s="217"/>
      <c r="D78" s="240" t="s">
        <v>134</v>
      </c>
      <c r="E78" s="217">
        <v>1.47</v>
      </c>
      <c r="F78" s="217"/>
      <c r="G78" s="217"/>
      <c r="H78" s="217"/>
      <c r="I78" s="217">
        <v>1.47</v>
      </c>
      <c r="J78" s="217"/>
      <c r="K78" s="240" t="s">
        <v>135</v>
      </c>
      <c r="L78" s="217">
        <v>1.47</v>
      </c>
      <c r="M78" s="251">
        <v>4661745.5999999996</v>
      </c>
      <c r="N78" s="326">
        <f>L78*2200000</f>
        <v>3234000</v>
      </c>
      <c r="O78" s="219">
        <f>M78-N78</f>
        <v>1427745.5999999996</v>
      </c>
      <c r="P78" s="372">
        <v>3234000</v>
      </c>
      <c r="Q78" s="362"/>
    </row>
    <row r="79" spans="1:19" ht="21.6" x14ac:dyDescent="0.3">
      <c r="A79" s="216"/>
      <c r="B79" s="216" t="s">
        <v>50</v>
      </c>
      <c r="C79" s="217"/>
      <c r="D79" s="240" t="s">
        <v>136</v>
      </c>
      <c r="E79" s="217">
        <v>2.13</v>
      </c>
      <c r="F79" s="217"/>
      <c r="G79" s="217"/>
      <c r="H79" s="217"/>
      <c r="I79" s="217">
        <v>2.13</v>
      </c>
      <c r="J79" s="217"/>
      <c r="K79" s="240" t="s">
        <v>137</v>
      </c>
      <c r="L79" s="217">
        <v>2.13</v>
      </c>
      <c r="M79" s="251">
        <v>4881044</v>
      </c>
      <c r="N79" s="221">
        <f>L79*2200000</f>
        <v>4686000</v>
      </c>
      <c r="O79" s="219">
        <f>M79-N79</f>
        <v>195044</v>
      </c>
      <c r="P79" s="372">
        <v>0</v>
      </c>
      <c r="Q79" s="2"/>
    </row>
    <row r="80" spans="1:19" x14ac:dyDescent="0.3">
      <c r="A80" s="216"/>
      <c r="B80" s="220" t="s">
        <v>25</v>
      </c>
      <c r="C80" s="220"/>
      <c r="D80" s="218"/>
      <c r="E80" s="217">
        <f>SUM(E75:E79)</f>
        <v>9.5250000000000004</v>
      </c>
      <c r="F80" s="217"/>
      <c r="G80" s="217">
        <f>G75+G76</f>
        <v>3.3150000000000004</v>
      </c>
      <c r="H80" s="217">
        <f>H76</f>
        <v>0</v>
      </c>
      <c r="I80" s="217">
        <f>I77+I78+I79</f>
        <v>6.21</v>
      </c>
      <c r="J80" s="217"/>
      <c r="K80" s="218"/>
      <c r="L80" s="217">
        <f>L75+L76+L77+L78+L79</f>
        <v>9.5250000000000004</v>
      </c>
      <c r="M80" s="344">
        <f>SUM(M75:M79)</f>
        <v>22182492.009999998</v>
      </c>
      <c r="N80" s="221">
        <f>SUM(N75:N79)</f>
        <v>18544000</v>
      </c>
      <c r="O80" s="219">
        <f>SUM(O75:O79)</f>
        <v>3638492.01</v>
      </c>
      <c r="P80" s="369">
        <f>SUM(P75:P79)</f>
        <v>13858000</v>
      </c>
      <c r="Q80" s="383"/>
      <c r="S80" s="2"/>
    </row>
    <row r="81" spans="1:17" x14ac:dyDescent="0.3">
      <c r="A81" s="495" t="s">
        <v>434</v>
      </c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7"/>
      <c r="P81" s="367"/>
    </row>
    <row r="82" spans="1:17" ht="22.2" thickBot="1" x14ac:dyDescent="0.35">
      <c r="A82" s="223"/>
      <c r="B82" s="267" t="s">
        <v>138</v>
      </c>
      <c r="C82" s="282"/>
      <c r="D82" s="283" t="s">
        <v>139</v>
      </c>
      <c r="E82" s="284">
        <v>4.165</v>
      </c>
      <c r="F82" s="282"/>
      <c r="G82" s="282"/>
      <c r="H82" s="282"/>
      <c r="I82" s="282">
        <v>4.165</v>
      </c>
      <c r="J82" s="282"/>
      <c r="K82" s="285" t="s">
        <v>140</v>
      </c>
      <c r="L82" s="282">
        <v>4.165</v>
      </c>
      <c r="M82" s="346">
        <v>9163000</v>
      </c>
      <c r="N82" s="327">
        <f>M82</f>
        <v>9163000</v>
      </c>
      <c r="O82" s="418">
        <v>0</v>
      </c>
      <c r="P82" s="372">
        <f>1.564*2200000</f>
        <v>3440800</v>
      </c>
      <c r="Q82" s="473" t="s">
        <v>431</v>
      </c>
    </row>
    <row r="83" spans="1:17" ht="21.6" x14ac:dyDescent="0.3">
      <c r="A83" s="286"/>
      <c r="B83" s="287" t="s">
        <v>138</v>
      </c>
      <c r="C83" s="288"/>
      <c r="D83" s="289" t="s">
        <v>141</v>
      </c>
      <c r="E83" s="504">
        <v>2.649</v>
      </c>
      <c r="F83" s="290"/>
      <c r="G83" s="290"/>
      <c r="H83" s="291"/>
      <c r="I83" s="292">
        <v>0.66200000000000003</v>
      </c>
      <c r="J83" s="290"/>
      <c r="K83" s="293" t="s">
        <v>142</v>
      </c>
      <c r="L83" s="294">
        <v>0.66200000000000003</v>
      </c>
      <c r="M83" s="347">
        <f>L83*2200000</f>
        <v>1456400</v>
      </c>
      <c r="N83" s="328">
        <f>L83*2200000</f>
        <v>1456400</v>
      </c>
      <c r="O83" s="419">
        <v>0</v>
      </c>
      <c r="P83" s="372">
        <f>N83</f>
        <v>1456400</v>
      </c>
    </row>
    <row r="84" spans="1:17" ht="21.6" x14ac:dyDescent="0.3">
      <c r="A84" s="286"/>
      <c r="B84" s="223"/>
      <c r="C84" s="295"/>
      <c r="D84" s="296"/>
      <c r="E84" s="505"/>
      <c r="F84" s="297"/>
      <c r="G84" s="297"/>
      <c r="H84" s="278">
        <v>1.756</v>
      </c>
      <c r="I84" s="278"/>
      <c r="J84" s="297"/>
      <c r="K84" s="225" t="s">
        <v>143</v>
      </c>
      <c r="L84" s="224">
        <v>1.756</v>
      </c>
      <c r="M84" s="235">
        <f>L84*2800000</f>
        <v>4916800</v>
      </c>
      <c r="N84" s="326">
        <f>L84*2800000</f>
        <v>4916800</v>
      </c>
      <c r="O84" s="420">
        <f>M84-N84</f>
        <v>0</v>
      </c>
      <c r="P84" s="372">
        <f>N84</f>
        <v>4916800</v>
      </c>
    </row>
    <row r="85" spans="1:17" ht="22.2" thickBot="1" x14ac:dyDescent="0.35">
      <c r="A85" s="286"/>
      <c r="B85" s="298"/>
      <c r="C85" s="299"/>
      <c r="D85" s="300"/>
      <c r="E85" s="506"/>
      <c r="F85" s="301"/>
      <c r="G85" s="301"/>
      <c r="H85" s="302"/>
      <c r="I85" s="302">
        <v>0.23100000000000001</v>
      </c>
      <c r="J85" s="301"/>
      <c r="K85" s="303" t="s">
        <v>144</v>
      </c>
      <c r="L85" s="304">
        <v>0.23100000000000001</v>
      </c>
      <c r="M85" s="348">
        <v>508200</v>
      </c>
      <c r="N85" s="329">
        <f>M85</f>
        <v>508200</v>
      </c>
      <c r="O85" s="421">
        <f>M85-N85</f>
        <v>0</v>
      </c>
      <c r="P85" s="372">
        <f>0.231*2200000</f>
        <v>508200</v>
      </c>
    </row>
    <row r="86" spans="1:17" x14ac:dyDescent="0.3">
      <c r="A86" s="223"/>
      <c r="B86" s="227" t="s">
        <v>25</v>
      </c>
      <c r="C86" s="227"/>
      <c r="D86" s="225"/>
      <c r="E86" s="224"/>
      <c r="F86" s="224"/>
      <c r="G86" s="224"/>
      <c r="H86" s="224">
        <f>H84</f>
        <v>1.756</v>
      </c>
      <c r="I86" s="224">
        <f>I82+I83</f>
        <v>4.827</v>
      </c>
      <c r="J86" s="224"/>
      <c r="K86" s="225"/>
      <c r="L86" s="224">
        <f>L83+L82+L84+L85</f>
        <v>6.8140000000000001</v>
      </c>
      <c r="M86" s="236">
        <f>SUM(M82:M85)</f>
        <v>16044400</v>
      </c>
      <c r="N86" s="228">
        <f>SUM(N82:N85)</f>
        <v>16044400</v>
      </c>
      <c r="O86" s="305">
        <v>0</v>
      </c>
      <c r="P86" s="369">
        <f>SUM(P82:P85)</f>
        <v>10322200</v>
      </c>
      <c r="Q86" s="362"/>
    </row>
    <row r="87" spans="1:17" ht="10.199999999999999" customHeight="1" x14ac:dyDescent="0.3">
      <c r="A87" s="18"/>
      <c r="B87" s="18"/>
      <c r="C87" s="18"/>
      <c r="D87" s="20"/>
      <c r="E87" s="18"/>
      <c r="F87" s="18"/>
      <c r="G87" s="18"/>
      <c r="H87" s="18"/>
      <c r="I87" s="18"/>
      <c r="J87" s="18"/>
      <c r="K87" s="20"/>
      <c r="L87" s="18"/>
      <c r="M87" s="349"/>
      <c r="N87" s="330"/>
      <c r="O87" s="1"/>
      <c r="P87" s="367"/>
    </row>
    <row r="88" spans="1:17" x14ac:dyDescent="0.3">
      <c r="A88" s="507" t="s">
        <v>0</v>
      </c>
      <c r="B88" s="508"/>
      <c r="C88" s="509" t="s">
        <v>435</v>
      </c>
      <c r="D88" s="510"/>
      <c r="E88" s="510"/>
      <c r="F88" s="510"/>
      <c r="G88" s="510"/>
      <c r="H88" s="511"/>
      <c r="I88" s="297"/>
      <c r="J88" s="297"/>
      <c r="K88" s="537" t="s">
        <v>428</v>
      </c>
      <c r="L88" s="1"/>
      <c r="M88" s="349"/>
      <c r="N88" s="330"/>
      <c r="O88" s="1"/>
      <c r="P88" s="367"/>
    </row>
    <row r="89" spans="1:17" x14ac:dyDescent="0.3">
      <c r="A89" s="384" t="s">
        <v>43</v>
      </c>
      <c r="B89" s="384"/>
      <c r="C89" s="384"/>
      <c r="D89" s="402" t="s">
        <v>44</v>
      </c>
      <c r="E89" s="402"/>
      <c r="F89" s="402"/>
      <c r="G89" s="385"/>
      <c r="H89" s="385"/>
      <c r="I89" s="385"/>
      <c r="J89" s="385"/>
      <c r="K89" s="537"/>
      <c r="L89" s="1"/>
      <c r="M89" s="349"/>
      <c r="N89" s="330"/>
      <c r="O89" s="1"/>
      <c r="P89" s="367"/>
    </row>
    <row r="90" spans="1:17" ht="31.2" x14ac:dyDescent="0.3">
      <c r="A90" s="386" t="s">
        <v>1</v>
      </c>
      <c r="B90" s="387" t="s">
        <v>2</v>
      </c>
      <c r="C90" s="388" t="s">
        <v>3</v>
      </c>
      <c r="D90" s="389" t="s">
        <v>4</v>
      </c>
      <c r="E90" s="390" t="s">
        <v>45</v>
      </c>
      <c r="F90" s="391" t="s">
        <v>46</v>
      </c>
      <c r="G90" s="392" t="s">
        <v>47</v>
      </c>
      <c r="H90" s="393" t="s">
        <v>11</v>
      </c>
      <c r="I90" s="393"/>
      <c r="J90" s="393"/>
      <c r="K90" s="415"/>
      <c r="L90" s="1"/>
      <c r="M90" s="349"/>
      <c r="N90" s="330"/>
      <c r="O90" s="1"/>
      <c r="P90" s="367"/>
      <c r="Q90" s="2"/>
    </row>
    <row r="91" spans="1:17" ht="30.6" x14ac:dyDescent="0.3">
      <c r="A91" s="386"/>
      <c r="B91" s="394"/>
      <c r="C91" s="388"/>
      <c r="D91" s="389"/>
      <c r="E91" s="390"/>
      <c r="F91" s="391"/>
      <c r="G91" s="392"/>
      <c r="H91" s="395" t="s">
        <v>12</v>
      </c>
      <c r="I91" s="395" t="s">
        <v>13</v>
      </c>
      <c r="J91" s="395" t="s">
        <v>14</v>
      </c>
      <c r="K91" s="415"/>
      <c r="L91" s="1"/>
      <c r="M91" s="349"/>
      <c r="N91" s="330"/>
      <c r="O91" s="1"/>
      <c r="P91" s="367"/>
    </row>
    <row r="92" spans="1:17" x14ac:dyDescent="0.3">
      <c r="A92" s="386"/>
      <c r="B92" s="394"/>
      <c r="C92" s="388"/>
      <c r="D92" s="389"/>
      <c r="E92" s="390"/>
      <c r="F92" s="396" t="s">
        <v>48</v>
      </c>
      <c r="G92" s="396" t="s">
        <v>48</v>
      </c>
      <c r="H92" s="395"/>
      <c r="I92" s="395"/>
      <c r="J92" s="395"/>
      <c r="K92" s="415"/>
      <c r="L92" s="1"/>
      <c r="M92" s="349"/>
      <c r="N92" s="330"/>
      <c r="O92" s="1"/>
      <c r="P92" s="367"/>
    </row>
    <row r="93" spans="1:17" x14ac:dyDescent="0.3">
      <c r="A93" s="386"/>
      <c r="B93" s="397"/>
      <c r="C93" s="388"/>
      <c r="D93" s="389"/>
      <c r="E93" s="390"/>
      <c r="F93" s="396"/>
      <c r="G93" s="396"/>
      <c r="H93" s="395" t="s">
        <v>19</v>
      </c>
      <c r="I93" s="395" t="s">
        <v>19</v>
      </c>
      <c r="J93" s="395" t="s">
        <v>19</v>
      </c>
      <c r="K93" s="415"/>
      <c r="L93" s="1"/>
      <c r="M93" s="349"/>
      <c r="N93" s="330"/>
      <c r="O93" s="1"/>
      <c r="P93" s="367"/>
    </row>
    <row r="94" spans="1:17" ht="21.6" x14ac:dyDescent="0.3">
      <c r="A94" s="223"/>
      <c r="B94" s="223"/>
      <c r="C94" s="224"/>
      <c r="D94" s="245" t="s">
        <v>141</v>
      </c>
      <c r="E94" s="244" t="s">
        <v>145</v>
      </c>
      <c r="F94" s="224">
        <v>8</v>
      </c>
      <c r="G94" s="224">
        <v>5</v>
      </c>
      <c r="H94" s="226">
        <f>F94*130000</f>
        <v>1040000</v>
      </c>
      <c r="I94" s="226">
        <f>H94</f>
        <v>1040000</v>
      </c>
      <c r="J94" s="305">
        <v>0</v>
      </c>
      <c r="K94" s="416">
        <v>1040000</v>
      </c>
      <c r="L94" s="1"/>
      <c r="M94" s="349"/>
      <c r="N94" s="330"/>
      <c r="O94" s="1"/>
      <c r="P94" s="367"/>
    </row>
    <row r="95" spans="1:17" x14ac:dyDescent="0.3">
      <c r="A95" s="223"/>
      <c r="B95" s="223"/>
      <c r="C95" s="224"/>
      <c r="D95" s="245" t="s">
        <v>146</v>
      </c>
      <c r="E95" s="244" t="s">
        <v>147</v>
      </c>
      <c r="F95" s="224">
        <v>6</v>
      </c>
      <c r="G95" s="224">
        <v>3</v>
      </c>
      <c r="H95" s="226">
        <f>F95*110000</f>
        <v>660000</v>
      </c>
      <c r="I95" s="226">
        <f>H95</f>
        <v>660000</v>
      </c>
      <c r="J95" s="305">
        <v>0</v>
      </c>
      <c r="K95" s="416">
        <v>0</v>
      </c>
      <c r="L95" s="1"/>
      <c r="M95" s="349"/>
      <c r="N95" s="330"/>
      <c r="O95" s="1"/>
      <c r="P95" s="367"/>
    </row>
    <row r="96" spans="1:17" x14ac:dyDescent="0.3">
      <c r="A96" s="223"/>
      <c r="B96" s="223"/>
      <c r="C96" s="224"/>
      <c r="D96" s="225"/>
      <c r="E96" s="224"/>
      <c r="F96" s="224"/>
      <c r="G96" s="224"/>
      <c r="H96" s="224"/>
      <c r="I96" s="224"/>
      <c r="J96" s="305"/>
      <c r="K96" s="416"/>
      <c r="L96" s="1"/>
      <c r="M96" s="349"/>
      <c r="N96" s="330"/>
      <c r="O96" s="463"/>
      <c r="P96" s="426"/>
      <c r="Q96" s="464"/>
    </row>
    <row r="97" spans="1:18" x14ac:dyDescent="0.3">
      <c r="A97" s="398"/>
      <c r="B97" s="384" t="s">
        <v>25</v>
      </c>
      <c r="C97" s="384"/>
      <c r="D97" s="399"/>
      <c r="E97" s="398"/>
      <c r="F97" s="398"/>
      <c r="G97" s="398"/>
      <c r="H97" s="400">
        <f>H94+H95</f>
        <v>1700000</v>
      </c>
      <c r="I97" s="400">
        <f>I94+I95</f>
        <v>1700000</v>
      </c>
      <c r="J97" s="401">
        <v>0</v>
      </c>
      <c r="K97" s="417">
        <f>SUM(K94:K96)</f>
        <v>1040000</v>
      </c>
      <c r="L97" s="18"/>
      <c r="M97" s="349"/>
      <c r="N97" s="330"/>
      <c r="O97" s="463"/>
      <c r="P97" s="426"/>
      <c r="Q97" s="464"/>
    </row>
    <row r="98" spans="1:18" s="364" customFormat="1" x14ac:dyDescent="0.3">
      <c r="A98" s="403"/>
      <c r="B98" s="404"/>
      <c r="C98" s="404"/>
      <c r="D98" s="405"/>
      <c r="E98" s="406"/>
      <c r="F98" s="406"/>
      <c r="G98" s="406"/>
      <c r="H98" s="407"/>
      <c r="I98" s="407"/>
      <c r="J98" s="408"/>
      <c r="K98" s="409"/>
      <c r="L98" s="410"/>
      <c r="M98" s="411"/>
      <c r="N98" s="412"/>
      <c r="O98" s="413"/>
      <c r="P98" s="414"/>
    </row>
    <row r="99" spans="1:18" x14ac:dyDescent="0.3">
      <c r="A99" s="531" t="s">
        <v>436</v>
      </c>
      <c r="B99" s="532"/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3"/>
      <c r="P99" s="367"/>
    </row>
    <row r="100" spans="1:18" ht="30.6" x14ac:dyDescent="0.3">
      <c r="A100" s="279" t="str">
        <f>A99</f>
        <v>17. УВШ "Бор" Ужице</v>
      </c>
      <c r="B100" s="250" t="s">
        <v>148</v>
      </c>
      <c r="C100" s="281" t="s">
        <v>149</v>
      </c>
      <c r="D100" s="281" t="s">
        <v>150</v>
      </c>
      <c r="E100" s="306">
        <v>7</v>
      </c>
      <c r="F100" s="306"/>
      <c r="G100" s="306"/>
      <c r="H100" s="306">
        <v>2.65</v>
      </c>
      <c r="I100" s="306"/>
      <c r="J100" s="306"/>
      <c r="K100" s="281" t="s">
        <v>151</v>
      </c>
      <c r="L100" s="306">
        <f>SUM(F100:J100)</f>
        <v>2.65</v>
      </c>
      <c r="M100" s="307">
        <f>N100*1.2</f>
        <v>8904000</v>
      </c>
      <c r="N100" s="331">
        <f>H100*2800000+I100*2200000</f>
        <v>7420000</v>
      </c>
      <c r="O100" s="307">
        <f>M100-N100</f>
        <v>1484000</v>
      </c>
      <c r="P100" s="379">
        <f>N100</f>
        <v>7420000</v>
      </c>
      <c r="Q100" s="364"/>
    </row>
    <row r="101" spans="1:18" ht="40.799999999999997" x14ac:dyDescent="0.3">
      <c r="A101" s="279"/>
      <c r="B101" s="250" t="s">
        <v>152</v>
      </c>
      <c r="C101" s="281" t="s">
        <v>153</v>
      </c>
      <c r="D101" s="281" t="s">
        <v>154</v>
      </c>
      <c r="E101" s="306">
        <v>8</v>
      </c>
      <c r="F101" s="306"/>
      <c r="G101" s="306"/>
      <c r="H101" s="306">
        <v>2.29</v>
      </c>
      <c r="I101" s="306"/>
      <c r="J101" s="306"/>
      <c r="K101" s="281" t="s">
        <v>155</v>
      </c>
      <c r="L101" s="306">
        <f>SUM(F101:J101)</f>
        <v>2.29</v>
      </c>
      <c r="M101" s="307">
        <f>N101*1.05</f>
        <v>6732600</v>
      </c>
      <c r="N101" s="332">
        <f>H101*2800000+I101*2200000</f>
        <v>6412000</v>
      </c>
      <c r="O101" s="307">
        <f>M101-N101</f>
        <v>320600</v>
      </c>
      <c r="P101" s="371">
        <v>0</v>
      </c>
    </row>
    <row r="102" spans="1:18" x14ac:dyDescent="0.3">
      <c r="A102" s="216"/>
      <c r="B102" s="220" t="s">
        <v>25</v>
      </c>
      <c r="C102" s="220"/>
      <c r="D102" s="218"/>
      <c r="E102" s="217"/>
      <c r="F102" s="217"/>
      <c r="G102" s="217"/>
      <c r="H102" s="217"/>
      <c r="I102" s="217"/>
      <c r="J102" s="217"/>
      <c r="K102" s="218"/>
      <c r="L102" s="280"/>
      <c r="M102" s="344">
        <f>SUM(M100:M101)</f>
        <v>15636600</v>
      </c>
      <c r="N102" s="221">
        <f>SUM(N100:N101)</f>
        <v>13832000</v>
      </c>
      <c r="O102" s="251"/>
      <c r="P102" s="368">
        <f>SUM(P100:P101)</f>
        <v>7420000</v>
      </c>
    </row>
    <row r="103" spans="1:18" x14ac:dyDescent="0.3">
      <c r="A103" s="534" t="s">
        <v>439</v>
      </c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6"/>
      <c r="P103" s="367"/>
    </row>
    <row r="104" spans="1:18" ht="21.6" x14ac:dyDescent="0.3">
      <c r="A104" s="263"/>
      <c r="B104" s="263" t="s">
        <v>156</v>
      </c>
      <c r="C104" s="264"/>
      <c r="D104" s="265" t="s">
        <v>157</v>
      </c>
      <c r="E104" s="264">
        <v>20</v>
      </c>
      <c r="F104" s="264"/>
      <c r="G104" s="264"/>
      <c r="H104" s="264"/>
      <c r="I104" s="264">
        <v>9.1</v>
      </c>
      <c r="J104" s="264"/>
      <c r="K104" s="265"/>
      <c r="L104" s="264">
        <v>9.1</v>
      </c>
      <c r="M104" s="350">
        <v>29147400</v>
      </c>
      <c r="N104" s="333">
        <v>29147400</v>
      </c>
      <c r="O104" s="264">
        <v>0</v>
      </c>
      <c r="P104" s="367"/>
    </row>
    <row r="105" spans="1:18" x14ac:dyDescent="0.3">
      <c r="A105" s="263"/>
      <c r="B105" s="266" t="s">
        <v>25</v>
      </c>
      <c r="C105" s="266"/>
      <c r="D105" s="265"/>
      <c r="E105" s="264"/>
      <c r="F105" s="264"/>
      <c r="G105" s="264"/>
      <c r="H105" s="264"/>
      <c r="I105" s="264">
        <v>9.1</v>
      </c>
      <c r="J105" s="264"/>
      <c r="K105" s="265"/>
      <c r="L105" s="264">
        <v>9.1</v>
      </c>
      <c r="M105" s="350">
        <v>29147400</v>
      </c>
      <c r="N105" s="333">
        <v>29147400</v>
      </c>
      <c r="O105" s="264">
        <v>0</v>
      </c>
      <c r="P105" s="368">
        <v>0</v>
      </c>
      <c r="Q105" s="476" t="s">
        <v>424</v>
      </c>
    </row>
    <row r="106" spans="1:18" x14ac:dyDescent="0.3">
      <c r="A106" s="525"/>
      <c r="B106" s="526"/>
      <c r="C106" s="495" t="s">
        <v>440</v>
      </c>
      <c r="D106" s="496"/>
      <c r="E106" s="496"/>
      <c r="F106" s="496"/>
      <c r="G106" s="496"/>
      <c r="H106" s="496"/>
      <c r="I106" s="496"/>
      <c r="J106" s="496"/>
      <c r="K106" s="496"/>
      <c r="L106" s="496"/>
      <c r="M106" s="351"/>
      <c r="N106" s="308"/>
      <c r="O106" s="309"/>
      <c r="P106" s="367"/>
    </row>
    <row r="107" spans="1:18" ht="21.6" x14ac:dyDescent="0.3">
      <c r="A107" s="231" t="s">
        <v>158</v>
      </c>
      <c r="B107" s="223" t="s">
        <v>159</v>
      </c>
      <c r="C107" s="310" t="s">
        <v>158</v>
      </c>
      <c r="D107" s="311" t="s">
        <v>160</v>
      </c>
      <c r="E107" s="312">
        <v>7855</v>
      </c>
      <c r="F107" s="313"/>
      <c r="G107" s="226"/>
      <c r="H107" s="314">
        <v>2.5619999999999998</v>
      </c>
      <c r="I107" s="315"/>
      <c r="J107" s="224"/>
      <c r="K107" s="316" t="s">
        <v>161</v>
      </c>
      <c r="L107" s="314">
        <v>2.5619999999999998</v>
      </c>
      <c r="M107" s="235">
        <v>7223600</v>
      </c>
      <c r="N107" s="326">
        <v>7173600</v>
      </c>
      <c r="O107" s="235">
        <v>50000</v>
      </c>
      <c r="P107" s="372">
        <f>N107</f>
        <v>7173600</v>
      </c>
    </row>
    <row r="108" spans="1:18" ht="21.6" x14ac:dyDescent="0.3">
      <c r="A108" s="234"/>
      <c r="B108" s="223" t="s">
        <v>159</v>
      </c>
      <c r="C108" s="310" t="s">
        <v>158</v>
      </c>
      <c r="D108" s="317"/>
      <c r="E108" s="318"/>
      <c r="F108" s="313"/>
      <c r="G108" s="224"/>
      <c r="H108" s="319"/>
      <c r="I108" s="315">
        <v>5.2930000000000001</v>
      </c>
      <c r="J108" s="224"/>
      <c r="K108" s="320" t="s">
        <v>162</v>
      </c>
      <c r="L108" s="315">
        <v>5.2930000000000001</v>
      </c>
      <c r="M108" s="235">
        <v>11749600</v>
      </c>
      <c r="N108" s="326">
        <v>11644600</v>
      </c>
      <c r="O108" s="235">
        <v>105000</v>
      </c>
      <c r="P108" s="372">
        <v>5044600</v>
      </c>
      <c r="R108" s="2"/>
    </row>
    <row r="109" spans="1:18" ht="21.6" x14ac:dyDescent="0.3">
      <c r="A109" s="234"/>
      <c r="B109" s="223" t="s">
        <v>159</v>
      </c>
      <c r="C109" s="310" t="s">
        <v>158</v>
      </c>
      <c r="D109" s="311" t="s">
        <v>163</v>
      </c>
      <c r="E109" s="321">
        <v>0.99399999999999999</v>
      </c>
      <c r="F109" s="313"/>
      <c r="G109" s="224"/>
      <c r="H109" s="315"/>
      <c r="I109" s="315">
        <v>0.39300000000000002</v>
      </c>
      <c r="J109" s="224"/>
      <c r="K109" s="316" t="s">
        <v>164</v>
      </c>
      <c r="L109" s="315">
        <v>0.39300000000000002</v>
      </c>
      <c r="M109" s="235">
        <v>874600</v>
      </c>
      <c r="N109" s="326">
        <v>864600</v>
      </c>
      <c r="O109" s="235">
        <v>10000</v>
      </c>
      <c r="P109" s="372">
        <f>N109</f>
        <v>864600</v>
      </c>
    </row>
    <row r="110" spans="1:18" ht="21.6" x14ac:dyDescent="0.3">
      <c r="A110" s="234"/>
      <c r="B110" s="223" t="s">
        <v>159</v>
      </c>
      <c r="C110" s="310" t="s">
        <v>158</v>
      </c>
      <c r="D110" s="317"/>
      <c r="E110" s="318"/>
      <c r="F110" s="313"/>
      <c r="G110" s="224"/>
      <c r="H110" s="314">
        <v>0.60099999999999998</v>
      </c>
      <c r="I110" s="315"/>
      <c r="J110" s="224"/>
      <c r="K110" s="316" t="s">
        <v>165</v>
      </c>
      <c r="L110" s="314">
        <v>0.60099999999999998</v>
      </c>
      <c r="M110" s="235">
        <v>1692800</v>
      </c>
      <c r="N110" s="326">
        <v>1682800</v>
      </c>
      <c r="O110" s="235">
        <v>10000</v>
      </c>
      <c r="P110" s="372">
        <f>N110</f>
        <v>1682800</v>
      </c>
    </row>
    <row r="111" spans="1:18" ht="42" x14ac:dyDescent="0.3">
      <c r="A111" s="234"/>
      <c r="B111" s="223" t="s">
        <v>159</v>
      </c>
      <c r="C111" s="310" t="s">
        <v>158</v>
      </c>
      <c r="D111" s="311" t="s">
        <v>166</v>
      </c>
      <c r="E111" s="321">
        <v>6.024</v>
      </c>
      <c r="F111" s="313"/>
      <c r="G111" s="224"/>
      <c r="H111" s="319"/>
      <c r="I111" s="315">
        <v>3.6179999999999999</v>
      </c>
      <c r="J111" s="224"/>
      <c r="K111" s="223" t="s">
        <v>167</v>
      </c>
      <c r="L111" s="315">
        <v>3.6179999999999999</v>
      </c>
      <c r="M111" s="235">
        <v>8029600</v>
      </c>
      <c r="N111" s="326">
        <v>7959600</v>
      </c>
      <c r="O111" s="235">
        <v>70000</v>
      </c>
      <c r="P111" s="372">
        <f>1.318*2200000</f>
        <v>2899600</v>
      </c>
      <c r="Q111" s="475" t="s">
        <v>429</v>
      </c>
      <c r="R111" s="364"/>
    </row>
    <row r="112" spans="1:18" ht="42" x14ac:dyDescent="0.3">
      <c r="A112" s="234"/>
      <c r="B112" s="223" t="s">
        <v>159</v>
      </c>
      <c r="C112" s="310" t="s">
        <v>158</v>
      </c>
      <c r="D112" s="317"/>
      <c r="E112" s="318"/>
      <c r="F112" s="313"/>
      <c r="G112" s="226"/>
      <c r="H112" s="314">
        <v>2.4060000000000001</v>
      </c>
      <c r="I112" s="315"/>
      <c r="J112" s="224"/>
      <c r="K112" s="223" t="s">
        <v>168</v>
      </c>
      <c r="L112" s="314">
        <v>2.4060000000000001</v>
      </c>
      <c r="M112" s="235">
        <v>6786800</v>
      </c>
      <c r="N112" s="228">
        <v>6736800</v>
      </c>
      <c r="O112" s="235">
        <v>50000</v>
      </c>
      <c r="P112" s="372">
        <f>N112</f>
        <v>6736800</v>
      </c>
    </row>
    <row r="113" spans="1:17" x14ac:dyDescent="0.3">
      <c r="A113" s="223"/>
      <c r="B113" s="227" t="s">
        <v>25</v>
      </c>
      <c r="C113" s="227"/>
      <c r="D113" s="225"/>
      <c r="E113" s="322">
        <v>14.872999999999999</v>
      </c>
      <c r="F113" s="224"/>
      <c r="G113" s="224"/>
      <c r="H113" s="229">
        <v>5.569</v>
      </c>
      <c r="I113" s="229">
        <v>9.3040000000000003</v>
      </c>
      <c r="J113" s="224"/>
      <c r="K113" s="225"/>
      <c r="L113" s="229">
        <v>14.872999999999999</v>
      </c>
      <c r="M113" s="236">
        <v>36357000</v>
      </c>
      <c r="N113" s="228">
        <f>SUM(N107:N112)</f>
        <v>36062000</v>
      </c>
      <c r="O113" s="236">
        <v>295000</v>
      </c>
      <c r="P113" s="369">
        <f>SUM(P107:P112)</f>
        <v>24402000</v>
      </c>
      <c r="Q113" s="363"/>
    </row>
    <row r="114" spans="1:17" x14ac:dyDescent="0.3">
      <c r="A114" s="528" t="s">
        <v>441</v>
      </c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29"/>
      <c r="O114" s="530"/>
      <c r="P114" s="367"/>
    </row>
    <row r="115" spans="1:17" ht="42" x14ac:dyDescent="0.3">
      <c r="A115" s="257" t="s">
        <v>169</v>
      </c>
      <c r="B115" s="216" t="s">
        <v>159</v>
      </c>
      <c r="C115" s="217"/>
      <c r="D115" s="218" t="s">
        <v>170</v>
      </c>
      <c r="E115" s="217" t="s">
        <v>171</v>
      </c>
      <c r="F115" s="217"/>
      <c r="G115" s="217"/>
      <c r="H115" s="217"/>
      <c r="I115" s="217" t="s">
        <v>171</v>
      </c>
      <c r="J115" s="217"/>
      <c r="K115" s="218" t="s">
        <v>171</v>
      </c>
      <c r="L115" s="217" t="s">
        <v>171</v>
      </c>
      <c r="M115" s="251">
        <v>2350000</v>
      </c>
      <c r="N115" s="221">
        <v>2227889.33</v>
      </c>
      <c r="O115" s="251">
        <v>122110</v>
      </c>
      <c r="P115" s="423"/>
      <c r="Q115" s="521" t="s">
        <v>423</v>
      </c>
    </row>
    <row r="116" spans="1:17" x14ac:dyDescent="0.3">
      <c r="A116" s="216"/>
      <c r="B116" s="220" t="s">
        <v>25</v>
      </c>
      <c r="C116" s="220"/>
      <c r="D116" s="218"/>
      <c r="E116" s="217" t="s">
        <v>171</v>
      </c>
      <c r="F116" s="217"/>
      <c r="G116" s="217"/>
      <c r="H116" s="217"/>
      <c r="I116" s="217" t="s">
        <v>171</v>
      </c>
      <c r="J116" s="217"/>
      <c r="K116" s="218" t="s">
        <v>171</v>
      </c>
      <c r="L116" s="217" t="s">
        <v>171</v>
      </c>
      <c r="M116" s="344">
        <v>2350000</v>
      </c>
      <c r="N116" s="221">
        <v>2227889.33</v>
      </c>
      <c r="O116" s="251">
        <v>122110</v>
      </c>
      <c r="P116" s="422">
        <f>0.937*2200000</f>
        <v>2061400.0000000002</v>
      </c>
      <c r="Q116" s="521"/>
    </row>
    <row r="117" spans="1:17" x14ac:dyDescent="0.3">
      <c r="A117" s="513" t="s">
        <v>442</v>
      </c>
      <c r="B117" s="514"/>
      <c r="C117" s="514"/>
      <c r="D117" s="514"/>
      <c r="E117" s="514"/>
      <c r="F117" s="514"/>
      <c r="G117" s="514"/>
      <c r="H117" s="514"/>
      <c r="I117" s="514"/>
      <c r="J117" s="514"/>
      <c r="K117" s="514"/>
      <c r="L117" s="514"/>
      <c r="M117" s="514"/>
      <c r="N117" s="514"/>
      <c r="O117" s="515"/>
      <c r="P117" s="367"/>
    </row>
    <row r="118" spans="1:17" ht="42" x14ac:dyDescent="0.3">
      <c r="A118" s="335" t="s">
        <v>172</v>
      </c>
      <c r="B118" s="336" t="s">
        <v>173</v>
      </c>
      <c r="C118" s="337" t="s">
        <v>174</v>
      </c>
      <c r="D118" s="338" t="s">
        <v>175</v>
      </c>
      <c r="E118" s="337">
        <v>3.0095299999999998</v>
      </c>
      <c r="F118" s="337"/>
      <c r="G118" s="337"/>
      <c r="H118" s="337"/>
      <c r="I118" s="337">
        <v>3.0095299999999998</v>
      </c>
      <c r="J118" s="337"/>
      <c r="K118" s="338" t="s">
        <v>176</v>
      </c>
      <c r="L118" s="337" t="s">
        <v>176</v>
      </c>
      <c r="M118" s="353" t="s">
        <v>177</v>
      </c>
      <c r="N118" s="354" t="s">
        <v>178</v>
      </c>
      <c r="O118" s="337" t="s">
        <v>179</v>
      </c>
      <c r="P118" s="367"/>
    </row>
    <row r="119" spans="1:17" x14ac:dyDescent="0.3">
      <c r="A119" s="336"/>
      <c r="B119" s="339" t="s">
        <v>25</v>
      </c>
      <c r="C119" s="339"/>
      <c r="D119" s="338"/>
      <c r="E119" s="337"/>
      <c r="F119" s="337"/>
      <c r="G119" s="337"/>
      <c r="H119" s="337"/>
      <c r="I119" s="337">
        <v>3.0095299999999998</v>
      </c>
      <c r="J119" s="337"/>
      <c r="K119" s="338"/>
      <c r="L119" s="337"/>
      <c r="M119" s="355" t="s">
        <v>177</v>
      </c>
      <c r="N119" s="354">
        <v>6620966</v>
      </c>
      <c r="O119" s="382" t="s">
        <v>179</v>
      </c>
      <c r="P119" s="369">
        <v>0</v>
      </c>
      <c r="Q119" s="380" t="s">
        <v>424</v>
      </c>
    </row>
    <row r="120" spans="1:17" x14ac:dyDescent="0.3">
      <c r="A120" s="522" t="s">
        <v>443</v>
      </c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4"/>
      <c r="P120" s="367"/>
    </row>
    <row r="121" spans="1:17" ht="21.6" x14ac:dyDescent="0.3">
      <c r="A121" s="527"/>
      <c r="B121" s="356" t="s">
        <v>180</v>
      </c>
      <c r="C121" s="357" t="s">
        <v>181</v>
      </c>
      <c r="D121" s="357" t="s">
        <v>182</v>
      </c>
      <c r="E121" s="358">
        <v>4.49</v>
      </c>
      <c r="F121" s="358"/>
      <c r="G121" s="358"/>
      <c r="H121" s="358"/>
      <c r="I121" s="358">
        <v>4.49</v>
      </c>
      <c r="J121" s="358"/>
      <c r="K121" s="358" t="s">
        <v>183</v>
      </c>
      <c r="L121" s="358"/>
      <c r="M121" s="359">
        <v>9878000</v>
      </c>
      <c r="N121" s="360">
        <v>9878000</v>
      </c>
      <c r="O121" s="358"/>
      <c r="P121" s="372">
        <v>9878000</v>
      </c>
    </row>
    <row r="122" spans="1:17" ht="43.2" customHeight="1" x14ac:dyDescent="0.3">
      <c r="A122" s="527"/>
      <c r="B122" s="356" t="s">
        <v>180</v>
      </c>
      <c r="C122" s="357" t="s">
        <v>184</v>
      </c>
      <c r="D122" s="357" t="s">
        <v>185</v>
      </c>
      <c r="E122" s="358">
        <v>2.08</v>
      </c>
      <c r="F122" s="358"/>
      <c r="G122" s="358"/>
      <c r="H122" s="358"/>
      <c r="I122" s="358">
        <v>2.08</v>
      </c>
      <c r="J122" s="358"/>
      <c r="K122" s="358" t="s">
        <v>186</v>
      </c>
      <c r="L122" s="358"/>
      <c r="M122" s="359">
        <v>4576000</v>
      </c>
      <c r="N122" s="236">
        <v>4576000</v>
      </c>
      <c r="O122" s="358"/>
      <c r="P122" s="373">
        <v>0</v>
      </c>
      <c r="Q122" s="381" t="s">
        <v>425</v>
      </c>
    </row>
    <row r="123" spans="1:17" x14ac:dyDescent="0.3">
      <c r="A123" s="340"/>
      <c r="B123" s="512" t="s">
        <v>25</v>
      </c>
      <c r="C123" s="512"/>
      <c r="D123" s="358"/>
      <c r="E123" s="358"/>
      <c r="F123" s="358"/>
      <c r="G123" s="358"/>
      <c r="H123" s="358"/>
      <c r="I123" s="358"/>
      <c r="J123" s="358"/>
      <c r="K123" s="358"/>
      <c r="L123" s="358"/>
      <c r="M123" s="360">
        <f>SUM(M121:M122)</f>
        <v>14454000</v>
      </c>
      <c r="N123" s="361">
        <f>SUM(N121:N122)</f>
        <v>14454000</v>
      </c>
      <c r="O123" s="358"/>
      <c r="P123" s="369">
        <v>9878000</v>
      </c>
    </row>
    <row r="125" spans="1:17" x14ac:dyDescent="0.3">
      <c r="A125" s="490" t="s">
        <v>0</v>
      </c>
      <c r="B125" s="491"/>
      <c r="C125" s="21"/>
      <c r="D125" s="22"/>
      <c r="E125" s="23" t="s">
        <v>444</v>
      </c>
      <c r="F125" s="23"/>
      <c r="G125" s="23"/>
      <c r="H125" s="23"/>
      <c r="I125" s="23"/>
      <c r="J125" s="23"/>
      <c r="K125" s="352"/>
      <c r="L125" s="334"/>
      <c r="M125"/>
      <c r="N125" s="366"/>
      <c r="P125"/>
    </row>
    <row r="126" spans="1:17" x14ac:dyDescent="0.3">
      <c r="A126" s="24" t="s">
        <v>92</v>
      </c>
      <c r="B126" s="21">
        <v>22</v>
      </c>
      <c r="C126" s="25" t="s">
        <v>93</v>
      </c>
      <c r="D126" s="25"/>
      <c r="E126" s="25"/>
      <c r="F126" s="25"/>
      <c r="G126" s="25"/>
      <c r="H126" s="25"/>
      <c r="I126" s="25"/>
      <c r="J126" s="25"/>
      <c r="K126" s="352"/>
      <c r="L126" s="334"/>
      <c r="M126"/>
      <c r="N126" s="366"/>
      <c r="P126"/>
    </row>
    <row r="127" spans="1:17" ht="30.6" x14ac:dyDescent="0.3">
      <c r="A127" s="26" t="s">
        <v>1</v>
      </c>
      <c r="B127" s="24"/>
      <c r="C127" s="27" t="s">
        <v>4</v>
      </c>
      <c r="D127" s="33"/>
      <c r="E127" s="28" t="s">
        <v>45</v>
      </c>
      <c r="F127" s="29" t="s">
        <v>46</v>
      </c>
      <c r="G127" s="30" t="s">
        <v>47</v>
      </c>
      <c r="H127" s="31" t="s">
        <v>11</v>
      </c>
      <c r="I127" s="31"/>
      <c r="J127" s="31"/>
      <c r="K127" s="352"/>
      <c r="L127" s="334"/>
      <c r="M127"/>
      <c r="N127" s="366"/>
      <c r="P127"/>
    </row>
    <row r="128" spans="1:17" ht="30.6" x14ac:dyDescent="0.3">
      <c r="A128" s="32"/>
      <c r="B128" s="492" t="s">
        <v>3</v>
      </c>
      <c r="C128" s="34"/>
      <c r="D128" s="40"/>
      <c r="E128" s="35"/>
      <c r="F128" s="36"/>
      <c r="G128" s="37"/>
      <c r="H128" s="38" t="s">
        <v>12</v>
      </c>
      <c r="I128" s="39" t="s">
        <v>13</v>
      </c>
      <c r="J128" s="39" t="s">
        <v>14</v>
      </c>
      <c r="K128" s="352"/>
      <c r="L128" s="334"/>
      <c r="M128"/>
      <c r="N128" s="366"/>
      <c r="P128"/>
    </row>
    <row r="129" spans="1:16" x14ac:dyDescent="0.3">
      <c r="A129" s="32"/>
      <c r="B129" s="493"/>
      <c r="C129" s="34"/>
      <c r="D129" s="40"/>
      <c r="E129" s="35"/>
      <c r="F129" s="41" t="s">
        <v>48</v>
      </c>
      <c r="G129" s="41" t="s">
        <v>48</v>
      </c>
      <c r="H129" s="42"/>
      <c r="I129" s="39"/>
      <c r="J129" s="39"/>
      <c r="K129" s="352"/>
      <c r="L129" s="334"/>
      <c r="M129"/>
      <c r="N129" s="366"/>
      <c r="P129"/>
    </row>
    <row r="130" spans="1:16" x14ac:dyDescent="0.3">
      <c r="A130" s="43"/>
      <c r="B130" s="493"/>
      <c r="C130" s="44"/>
      <c r="D130" s="48"/>
      <c r="E130" s="45"/>
      <c r="F130" s="46"/>
      <c r="G130" s="46"/>
      <c r="H130" s="39" t="s">
        <v>19</v>
      </c>
      <c r="I130" s="39" t="s">
        <v>19</v>
      </c>
      <c r="J130" s="39" t="s">
        <v>19</v>
      </c>
      <c r="K130" s="352"/>
      <c r="L130" s="334"/>
      <c r="M130"/>
      <c r="N130" s="366"/>
      <c r="P130"/>
    </row>
    <row r="131" spans="1:16" x14ac:dyDescent="0.3">
      <c r="A131" s="47"/>
      <c r="B131" s="494"/>
      <c r="C131" s="49"/>
      <c r="D131" s="49"/>
      <c r="E131" s="50"/>
      <c r="F131" s="50"/>
      <c r="G131" s="50"/>
      <c r="H131" s="51"/>
      <c r="I131" s="51"/>
      <c r="J131" s="51"/>
      <c r="K131" s="352"/>
      <c r="L131" s="334"/>
      <c r="M131"/>
      <c r="N131" s="366"/>
      <c r="P131"/>
    </row>
    <row r="132" spans="1:16" ht="42" x14ac:dyDescent="0.3">
      <c r="A132" s="52"/>
      <c r="B132" s="53" t="s">
        <v>89</v>
      </c>
      <c r="C132" s="54" t="s">
        <v>94</v>
      </c>
      <c r="D132" s="54"/>
      <c r="E132" s="55"/>
      <c r="F132" s="55">
        <v>6</v>
      </c>
      <c r="G132" s="49">
        <v>5</v>
      </c>
      <c r="H132" s="56">
        <v>800000</v>
      </c>
      <c r="I132" s="19">
        <v>660000</v>
      </c>
      <c r="J132" s="19">
        <v>140000</v>
      </c>
      <c r="K132" s="470" t="s">
        <v>419</v>
      </c>
      <c r="M132"/>
      <c r="N132" s="366"/>
      <c r="P132"/>
    </row>
    <row r="133" spans="1:16" x14ac:dyDescent="0.3">
      <c r="A133" s="57"/>
      <c r="B133" s="49"/>
      <c r="C133" s="49"/>
      <c r="D133" s="49"/>
      <c r="E133" s="50" t="s">
        <v>95</v>
      </c>
      <c r="F133" s="58">
        <v>6</v>
      </c>
      <c r="G133" s="53">
        <v>5</v>
      </c>
      <c r="H133" s="59">
        <v>800000</v>
      </c>
      <c r="I133" s="60">
        <f>SUM(I132)</f>
        <v>660000</v>
      </c>
      <c r="J133" s="60">
        <v>140000</v>
      </c>
      <c r="K133" s="352"/>
      <c r="L133" s="334"/>
      <c r="M133"/>
      <c r="N133" s="366"/>
      <c r="P133"/>
    </row>
    <row r="137" spans="1:16" x14ac:dyDescent="0.3">
      <c r="J137" s="471"/>
      <c r="K137" s="471"/>
      <c r="L137" s="471"/>
    </row>
    <row r="138" spans="1:16" x14ac:dyDescent="0.3">
      <c r="J138" s="471"/>
      <c r="K138" s="471"/>
      <c r="L138" s="471"/>
    </row>
  </sheetData>
  <mergeCells count="37">
    <mergeCell ref="A1:N1"/>
    <mergeCell ref="Q9:S9"/>
    <mergeCell ref="Q14:S14"/>
    <mergeCell ref="F2:H2"/>
    <mergeCell ref="M2:O2"/>
    <mergeCell ref="A5:O5"/>
    <mergeCell ref="A8:O8"/>
    <mergeCell ref="A121:A122"/>
    <mergeCell ref="A114:O114"/>
    <mergeCell ref="A74:O74"/>
    <mergeCell ref="A81:O81"/>
    <mergeCell ref="A99:O99"/>
    <mergeCell ref="A103:O103"/>
    <mergeCell ref="K88:K89"/>
    <mergeCell ref="A33:O33"/>
    <mergeCell ref="A37:O37"/>
    <mergeCell ref="Q115:Q116"/>
    <mergeCell ref="A120:O120"/>
    <mergeCell ref="A106:B106"/>
    <mergeCell ref="C106:L106"/>
    <mergeCell ref="A68:O68"/>
    <mergeCell ref="A17:B17"/>
    <mergeCell ref="A62:O62"/>
    <mergeCell ref="A125:B125"/>
    <mergeCell ref="B128:B131"/>
    <mergeCell ref="A53:O53"/>
    <mergeCell ref="A40:O40"/>
    <mergeCell ref="A43:O43"/>
    <mergeCell ref="A47:O47"/>
    <mergeCell ref="A50:O50"/>
    <mergeCell ref="E83:E85"/>
    <mergeCell ref="A88:B88"/>
    <mergeCell ref="C88:H88"/>
    <mergeCell ref="B123:C123"/>
    <mergeCell ref="A117:O117"/>
    <mergeCell ref="A26:O26"/>
    <mergeCell ref="A30:O3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pane xSplit="12" ySplit="9" topLeftCell="M43" activePane="bottomRight" state="frozen"/>
      <selection pane="topRight" activeCell="M1" sqref="M1"/>
      <selection pane="bottomLeft" activeCell="A10" sqref="A10"/>
      <selection pane="bottomRight" activeCell="S54" sqref="S54"/>
    </sheetView>
  </sheetViews>
  <sheetFormatPr defaultRowHeight="14.4" x14ac:dyDescent="0.3"/>
  <cols>
    <col min="14" max="14" width="14.88671875" customWidth="1"/>
    <col min="15" max="15" width="13.5546875" customWidth="1"/>
    <col min="16" max="16" width="14" customWidth="1"/>
  </cols>
  <sheetData>
    <row r="1" spans="1:16" ht="15" thickBot="1" x14ac:dyDescent="0.35">
      <c r="A1" s="551" t="s">
        <v>446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3"/>
    </row>
    <row r="2" spans="1:16" x14ac:dyDescent="0.3">
      <c r="A2" s="554" t="s">
        <v>187</v>
      </c>
      <c r="B2" s="557" t="s">
        <v>2</v>
      </c>
      <c r="C2" s="560" t="s">
        <v>3</v>
      </c>
      <c r="D2" s="563" t="s">
        <v>4</v>
      </c>
      <c r="E2" s="62" t="s">
        <v>5</v>
      </c>
      <c r="F2" s="566" t="s">
        <v>188</v>
      </c>
      <c r="G2" s="567"/>
      <c r="H2" s="568"/>
      <c r="I2" s="569" t="s">
        <v>189</v>
      </c>
      <c r="J2" s="569" t="s">
        <v>190</v>
      </c>
      <c r="K2" s="572" t="s">
        <v>191</v>
      </c>
      <c r="L2" s="560"/>
      <c r="M2" s="569" t="s">
        <v>192</v>
      </c>
      <c r="N2" s="576" t="s">
        <v>11</v>
      </c>
      <c r="O2" s="577"/>
      <c r="P2" s="578"/>
    </row>
    <row r="3" spans="1:16" x14ac:dyDescent="0.3">
      <c r="A3" s="555"/>
      <c r="B3" s="558"/>
      <c r="C3" s="561"/>
      <c r="D3" s="564"/>
      <c r="E3" s="579" t="s">
        <v>15</v>
      </c>
      <c r="F3" s="581" t="s">
        <v>16</v>
      </c>
      <c r="G3" s="581" t="s">
        <v>17</v>
      </c>
      <c r="H3" s="581" t="s">
        <v>18</v>
      </c>
      <c r="I3" s="570"/>
      <c r="J3" s="570"/>
      <c r="K3" s="573"/>
      <c r="L3" s="574"/>
      <c r="M3" s="575"/>
      <c r="N3" s="63" t="s">
        <v>193</v>
      </c>
      <c r="O3" s="63" t="s">
        <v>194</v>
      </c>
      <c r="P3" s="64" t="s">
        <v>195</v>
      </c>
    </row>
    <row r="4" spans="1:16" ht="15" thickBot="1" x14ac:dyDescent="0.35">
      <c r="A4" s="556"/>
      <c r="B4" s="559"/>
      <c r="C4" s="562"/>
      <c r="D4" s="565"/>
      <c r="E4" s="580"/>
      <c r="F4" s="582"/>
      <c r="G4" s="582"/>
      <c r="H4" s="582"/>
      <c r="I4" s="571"/>
      <c r="J4" s="571"/>
      <c r="K4" s="65" t="s">
        <v>196</v>
      </c>
      <c r="L4" s="65" t="s">
        <v>197</v>
      </c>
      <c r="M4" s="66" t="s">
        <v>15</v>
      </c>
      <c r="N4" s="67" t="s">
        <v>198</v>
      </c>
      <c r="O4" s="67" t="s">
        <v>198</v>
      </c>
      <c r="P4" s="68" t="s">
        <v>198</v>
      </c>
    </row>
    <row r="5" spans="1:16" x14ac:dyDescent="0.3">
      <c r="A5" s="583" t="s">
        <v>199</v>
      </c>
      <c r="B5" s="69" t="s">
        <v>138</v>
      </c>
      <c r="C5" s="70" t="s">
        <v>200</v>
      </c>
      <c r="D5" s="155" t="s">
        <v>201</v>
      </c>
      <c r="E5" s="71">
        <v>2.609</v>
      </c>
      <c r="F5" s="72"/>
      <c r="G5" s="72"/>
      <c r="H5" s="72">
        <v>2.609</v>
      </c>
      <c r="I5" s="72"/>
      <c r="J5" s="72"/>
      <c r="K5" s="73" t="s">
        <v>202</v>
      </c>
      <c r="L5" s="73" t="s">
        <v>203</v>
      </c>
      <c r="M5" s="72">
        <v>2.609</v>
      </c>
      <c r="N5" s="74">
        <v>9041874</v>
      </c>
      <c r="O5" s="75">
        <f>SUM(M5*2800000)</f>
        <v>7305200</v>
      </c>
      <c r="P5" s="76">
        <f>SUM(N5-O5)</f>
        <v>1736674</v>
      </c>
    </row>
    <row r="6" spans="1:16" ht="36.6" thickBot="1" x14ac:dyDescent="0.35">
      <c r="A6" s="584"/>
      <c r="B6" s="77" t="s">
        <v>204</v>
      </c>
      <c r="C6" s="78" t="s">
        <v>205</v>
      </c>
      <c r="D6" s="484" t="s">
        <v>206</v>
      </c>
      <c r="E6" s="79">
        <v>3.3159999999999998</v>
      </c>
      <c r="F6" s="80"/>
      <c r="G6" s="80"/>
      <c r="H6" s="80">
        <v>3.3159999999999998</v>
      </c>
      <c r="I6" s="80"/>
      <c r="J6" s="80"/>
      <c r="K6" s="81" t="s">
        <v>202</v>
      </c>
      <c r="L6" s="81" t="s">
        <v>207</v>
      </c>
      <c r="M6" s="80">
        <v>3.3159999999999998</v>
      </c>
      <c r="N6" s="82">
        <v>11322730</v>
      </c>
      <c r="O6" s="83">
        <f>SUM(M6*2800000)</f>
        <v>9284800</v>
      </c>
      <c r="P6" s="84">
        <f>SUM(N6-O6)</f>
        <v>2037930</v>
      </c>
    </row>
    <row r="7" spans="1:16" ht="15" thickBot="1" x14ac:dyDescent="0.35">
      <c r="A7" s="585"/>
      <c r="B7" s="586" t="s">
        <v>208</v>
      </c>
      <c r="C7" s="586"/>
      <c r="D7" s="587"/>
      <c r="E7" s="85">
        <f>SUM(E5:E6)</f>
        <v>5.9249999999999998</v>
      </c>
      <c r="F7" s="86"/>
      <c r="G7" s="86"/>
      <c r="H7" s="87">
        <f>SUM(H5:H6)</f>
        <v>5.9249999999999998</v>
      </c>
      <c r="I7" s="87"/>
      <c r="J7" s="86"/>
      <c r="K7" s="88"/>
      <c r="L7" s="88"/>
      <c r="M7" s="87">
        <f>SUM(M5:M6)</f>
        <v>5.9249999999999998</v>
      </c>
      <c r="N7" s="89">
        <f>SUM(N5:N6)</f>
        <v>20364604</v>
      </c>
      <c r="O7" s="479">
        <f>SUM(O5:O6)</f>
        <v>16590000</v>
      </c>
      <c r="P7" s="90">
        <f>SUM(P5:P6)</f>
        <v>3774604</v>
      </c>
    </row>
    <row r="8" spans="1:16" ht="36" x14ac:dyDescent="0.3">
      <c r="A8" s="583" t="s">
        <v>209</v>
      </c>
      <c r="B8" s="91" t="s">
        <v>156</v>
      </c>
      <c r="C8" s="92" t="s">
        <v>210</v>
      </c>
      <c r="D8" s="93" t="s">
        <v>211</v>
      </c>
      <c r="E8" s="71">
        <v>2.54</v>
      </c>
      <c r="F8" s="72"/>
      <c r="G8" s="72">
        <v>2.54</v>
      </c>
      <c r="H8" s="72"/>
      <c r="I8" s="72"/>
      <c r="J8" s="72"/>
      <c r="K8" s="73" t="s">
        <v>202</v>
      </c>
      <c r="L8" s="73" t="s">
        <v>212</v>
      </c>
      <c r="M8" s="72">
        <v>2.54</v>
      </c>
      <c r="N8" s="74">
        <v>7242507.5</v>
      </c>
      <c r="O8" s="75">
        <f>SUM(M8*1500000)</f>
        <v>3810000</v>
      </c>
      <c r="P8" s="76">
        <f>SUM(N8-O8)</f>
        <v>3432507.5</v>
      </c>
    </row>
    <row r="9" spans="1:16" ht="24" x14ac:dyDescent="0.3">
      <c r="A9" s="584"/>
      <c r="B9" s="94" t="s">
        <v>213</v>
      </c>
      <c r="C9" s="95" t="s">
        <v>214</v>
      </c>
      <c r="D9" s="96" t="s">
        <v>215</v>
      </c>
      <c r="E9" s="79">
        <v>3.573</v>
      </c>
      <c r="F9" s="80"/>
      <c r="G9" s="80">
        <v>1.623</v>
      </c>
      <c r="H9" s="80"/>
      <c r="I9" s="80"/>
      <c r="J9" s="80"/>
      <c r="K9" s="81" t="s">
        <v>216</v>
      </c>
      <c r="L9" s="81" t="s">
        <v>217</v>
      </c>
      <c r="M9" s="80">
        <v>1.623</v>
      </c>
      <c r="N9" s="82">
        <v>4923106.4000000004</v>
      </c>
      <c r="O9" s="83">
        <f>SUM(M9*1500000)</f>
        <v>2434500</v>
      </c>
      <c r="P9" s="84">
        <f>SUM(N9-O9)</f>
        <v>2488606.4000000004</v>
      </c>
    </row>
    <row r="10" spans="1:16" ht="48" x14ac:dyDescent="0.3">
      <c r="A10" s="584"/>
      <c r="B10" s="94" t="s">
        <v>156</v>
      </c>
      <c r="C10" s="95" t="s">
        <v>210</v>
      </c>
      <c r="D10" s="96" t="s">
        <v>218</v>
      </c>
      <c r="E10" s="79">
        <v>3.056</v>
      </c>
      <c r="F10" s="80"/>
      <c r="G10" s="80"/>
      <c r="H10" s="80">
        <v>3.056</v>
      </c>
      <c r="I10" s="80"/>
      <c r="J10" s="80"/>
      <c r="K10" s="81" t="s">
        <v>202</v>
      </c>
      <c r="L10" s="81" t="s">
        <v>219</v>
      </c>
      <c r="M10" s="80">
        <v>3.056</v>
      </c>
      <c r="N10" s="82">
        <v>12171442.59</v>
      </c>
      <c r="O10" s="83">
        <f>SUM(M10*2800000)</f>
        <v>8556800</v>
      </c>
      <c r="P10" s="84">
        <f>SUM(N10-O10)</f>
        <v>3614642.59</v>
      </c>
    </row>
    <row r="11" spans="1:16" ht="36" x14ac:dyDescent="0.3">
      <c r="A11" s="584"/>
      <c r="B11" s="94" t="s">
        <v>213</v>
      </c>
      <c r="C11" s="95" t="s">
        <v>220</v>
      </c>
      <c r="D11" s="96" t="s">
        <v>221</v>
      </c>
      <c r="E11" s="79">
        <v>2.415</v>
      </c>
      <c r="F11" s="80"/>
      <c r="G11" s="80"/>
      <c r="I11" s="80"/>
      <c r="J11" s="80"/>
      <c r="K11" s="81" t="s">
        <v>202</v>
      </c>
      <c r="L11" s="81" t="s">
        <v>222</v>
      </c>
      <c r="M11" s="80">
        <v>2.415</v>
      </c>
      <c r="N11" s="82">
        <v>7735136.0800000001</v>
      </c>
      <c r="O11" s="472"/>
      <c r="P11" s="84">
        <f>SUM(N11-U11)</f>
        <v>7735136.0800000001</v>
      </c>
    </row>
    <row r="12" spans="1:16" ht="48.6" thickBot="1" x14ac:dyDescent="0.35">
      <c r="A12" s="584"/>
      <c r="B12" s="94" t="s">
        <v>156</v>
      </c>
      <c r="C12" s="95" t="s">
        <v>223</v>
      </c>
      <c r="D12" s="96" t="s">
        <v>224</v>
      </c>
      <c r="E12" s="79">
        <v>1.921</v>
      </c>
      <c r="F12" s="80"/>
      <c r="G12" s="80"/>
      <c r="I12" s="80"/>
      <c r="J12" s="80"/>
      <c r="K12" s="81" t="s">
        <v>202</v>
      </c>
      <c r="L12" s="81" t="s">
        <v>225</v>
      </c>
      <c r="M12" s="80">
        <v>1.921</v>
      </c>
      <c r="N12" s="82">
        <v>7275483.3600000003</v>
      </c>
      <c r="O12" s="478"/>
      <c r="P12" s="84">
        <f>SUM(N12-U12)</f>
        <v>7275483.3600000003</v>
      </c>
    </row>
    <row r="13" spans="1:16" ht="15" thickBot="1" x14ac:dyDescent="0.35">
      <c r="A13" s="585"/>
      <c r="B13" s="586" t="s">
        <v>208</v>
      </c>
      <c r="C13" s="586"/>
      <c r="D13" s="587"/>
      <c r="E13" s="85">
        <f>SUM(E8:E12)</f>
        <v>13.504999999999999</v>
      </c>
      <c r="F13" s="87"/>
      <c r="G13" s="87">
        <f>SUM(G8:G12)</f>
        <v>4.1630000000000003</v>
      </c>
      <c r="H13" s="87">
        <f>SUM(H8:H12)</f>
        <v>3.056</v>
      </c>
      <c r="I13" s="87"/>
      <c r="J13" s="87"/>
      <c r="K13" s="97"/>
      <c r="L13" s="97"/>
      <c r="M13" s="87">
        <f>SUM(M8:M12)</f>
        <v>11.555</v>
      </c>
      <c r="N13" s="89">
        <f>SUM(N8:N12)</f>
        <v>39347675.93</v>
      </c>
      <c r="O13" s="477">
        <f>SUM(O8:O12)</f>
        <v>14801300</v>
      </c>
      <c r="P13" s="90">
        <f>SUM(P8:P12)</f>
        <v>24546375.93</v>
      </c>
    </row>
    <row r="14" spans="1:16" ht="36" x14ac:dyDescent="0.3">
      <c r="A14" s="583" t="s">
        <v>226</v>
      </c>
      <c r="B14" s="91" t="s">
        <v>227</v>
      </c>
      <c r="C14" s="92" t="s">
        <v>228</v>
      </c>
      <c r="D14" s="93" t="s">
        <v>229</v>
      </c>
      <c r="E14" s="71">
        <v>2.484</v>
      </c>
      <c r="F14" s="72"/>
      <c r="G14" s="72"/>
      <c r="H14" s="72"/>
      <c r="I14" s="364"/>
      <c r="J14" s="72"/>
      <c r="K14" s="73" t="s">
        <v>202</v>
      </c>
      <c r="L14" s="73" t="s">
        <v>230</v>
      </c>
      <c r="M14" s="72">
        <v>2.484</v>
      </c>
      <c r="N14" s="74">
        <v>6823575.2999999998</v>
      </c>
      <c r="P14" s="76">
        <f>SUM(N14-U14)</f>
        <v>6823575.2999999998</v>
      </c>
    </row>
    <row r="15" spans="1:16" ht="36" x14ac:dyDescent="0.3">
      <c r="A15" s="584"/>
      <c r="B15" s="94" t="s">
        <v>231</v>
      </c>
      <c r="C15" s="95" t="s">
        <v>232</v>
      </c>
      <c r="D15" s="98" t="s">
        <v>233</v>
      </c>
      <c r="E15" s="79">
        <v>2.9089999999999998</v>
      </c>
      <c r="F15" s="80"/>
      <c r="G15" s="80"/>
      <c r="H15" s="80"/>
      <c r="I15" s="80"/>
      <c r="J15" s="99">
        <v>2.9089999999999998</v>
      </c>
      <c r="K15" s="81" t="s">
        <v>202</v>
      </c>
      <c r="L15" s="81" t="s">
        <v>234</v>
      </c>
      <c r="M15" s="80">
        <v>2.9089999999999998</v>
      </c>
      <c r="N15" s="82">
        <v>8373137</v>
      </c>
      <c r="O15" s="83">
        <f>M15*2200000</f>
        <v>6399800</v>
      </c>
      <c r="P15" s="84">
        <f>SUM(N15-O15)</f>
        <v>1973337</v>
      </c>
    </row>
    <row r="16" spans="1:16" ht="72.599999999999994" thickBot="1" x14ac:dyDescent="0.35">
      <c r="A16" s="584"/>
      <c r="B16" s="94" t="s">
        <v>227</v>
      </c>
      <c r="C16" s="95" t="s">
        <v>228</v>
      </c>
      <c r="D16" s="96" t="s">
        <v>235</v>
      </c>
      <c r="E16" s="79">
        <v>3.69</v>
      </c>
      <c r="F16" s="80"/>
      <c r="G16" s="80"/>
      <c r="H16" s="80">
        <v>3.69</v>
      </c>
      <c r="I16" s="80"/>
      <c r="J16" s="80"/>
      <c r="K16" s="81" t="s">
        <v>202</v>
      </c>
      <c r="L16" s="81" t="s">
        <v>236</v>
      </c>
      <c r="M16" s="80">
        <v>3.69</v>
      </c>
      <c r="N16" s="82">
        <v>10876436.210000001</v>
      </c>
      <c r="O16" s="83">
        <f>SUM(M16*2800000)</f>
        <v>10332000</v>
      </c>
      <c r="P16" s="84">
        <f>SUM(N16-O16)</f>
        <v>544436.21000000089</v>
      </c>
    </row>
    <row r="17" spans="1:16" ht="15" thickBot="1" x14ac:dyDescent="0.35">
      <c r="A17" s="585"/>
      <c r="B17" s="586" t="s">
        <v>208</v>
      </c>
      <c r="C17" s="586"/>
      <c r="D17" s="587"/>
      <c r="E17" s="100">
        <f>SUM(E14:E16)</f>
        <v>9.0830000000000002</v>
      </c>
      <c r="F17" s="101"/>
      <c r="G17" s="101"/>
      <c r="H17" s="101">
        <f>SUM(H14:H16)</f>
        <v>3.69</v>
      </c>
      <c r="I17" s="101">
        <f>SUM(I14:I16)</f>
        <v>0</v>
      </c>
      <c r="J17" s="101">
        <f>SUM(J14:J16)</f>
        <v>2.9089999999999998</v>
      </c>
      <c r="K17" s="102"/>
      <c r="L17" s="102"/>
      <c r="M17" s="101">
        <f>SUM(M14:M16)</f>
        <v>9.0830000000000002</v>
      </c>
      <c r="N17" s="103">
        <f>SUM(N14:N16)</f>
        <v>26073148.510000002</v>
      </c>
      <c r="O17" s="103">
        <f>SUM(O14:O16)</f>
        <v>16731800</v>
      </c>
      <c r="P17" s="104">
        <f>SUM(P14:P16)</f>
        <v>9341348.5100000016</v>
      </c>
    </row>
    <row r="18" spans="1:16" ht="72" x14ac:dyDescent="0.3">
      <c r="A18" s="588" t="s">
        <v>237</v>
      </c>
      <c r="B18" s="105" t="s">
        <v>238</v>
      </c>
      <c r="C18" s="92" t="s">
        <v>239</v>
      </c>
      <c r="D18" s="93" t="s">
        <v>240</v>
      </c>
      <c r="E18" s="71">
        <v>8.2010000000000005</v>
      </c>
      <c r="F18" s="106"/>
      <c r="G18" s="106"/>
      <c r="H18" s="106"/>
      <c r="J18" s="106"/>
      <c r="K18" s="73" t="s">
        <v>202</v>
      </c>
      <c r="L18" s="73" t="s">
        <v>241</v>
      </c>
      <c r="M18" s="106">
        <v>8.2010000000000005</v>
      </c>
      <c r="N18" s="74">
        <v>23271765.530000001</v>
      </c>
      <c r="P18" s="107">
        <f>SUM(N18-U18)</f>
        <v>23271765.530000001</v>
      </c>
    </row>
    <row r="19" spans="1:16" ht="48.6" thickBot="1" x14ac:dyDescent="0.35">
      <c r="A19" s="589"/>
      <c r="B19" s="108" t="s">
        <v>242</v>
      </c>
      <c r="C19" s="95" t="s">
        <v>243</v>
      </c>
      <c r="D19" s="96" t="s">
        <v>244</v>
      </c>
      <c r="E19" s="79">
        <v>2.2000000000000002</v>
      </c>
      <c r="F19" s="109"/>
      <c r="G19" s="109"/>
      <c r="H19" s="109"/>
      <c r="I19" s="109">
        <v>2.2000000000000002</v>
      </c>
      <c r="J19" s="109"/>
      <c r="K19" s="81" t="s">
        <v>202</v>
      </c>
      <c r="L19" s="81" t="s">
        <v>245</v>
      </c>
      <c r="M19" s="109">
        <v>2.2000000000000002</v>
      </c>
      <c r="N19" s="82">
        <v>7232945.4800000004</v>
      </c>
      <c r="O19" s="110">
        <f>SUM(M19*2200000)</f>
        <v>4840000</v>
      </c>
      <c r="P19" s="111">
        <f>SUM(N19-O19)</f>
        <v>2392945.4800000004</v>
      </c>
    </row>
    <row r="20" spans="1:16" ht="15" thickBot="1" x14ac:dyDescent="0.35">
      <c r="A20" s="590"/>
      <c r="B20" s="586" t="s">
        <v>208</v>
      </c>
      <c r="C20" s="586"/>
      <c r="D20" s="587"/>
      <c r="E20" s="112">
        <f>SUM(E18:E19)</f>
        <v>10.401</v>
      </c>
      <c r="F20" s="113"/>
      <c r="G20" s="114"/>
      <c r="H20" s="114"/>
      <c r="I20" s="114">
        <f>SUM(I18:I19)</f>
        <v>2.2000000000000002</v>
      </c>
      <c r="J20" s="114"/>
      <c r="K20" s="115"/>
      <c r="L20" s="115"/>
      <c r="M20" s="114">
        <f>SUM(M18:M19)</f>
        <v>10.401</v>
      </c>
      <c r="N20" s="116">
        <f>SUM(N18:N19)</f>
        <v>30504711.010000002</v>
      </c>
      <c r="O20" s="116">
        <f>SUM(O18:O19)</f>
        <v>4840000</v>
      </c>
      <c r="P20" s="117">
        <f>SUM(P18:P19)</f>
        <v>25664711.010000002</v>
      </c>
    </row>
    <row r="21" spans="1:16" ht="48" x14ac:dyDescent="0.3">
      <c r="A21" s="583" t="s">
        <v>246</v>
      </c>
      <c r="B21" s="91" t="s">
        <v>71</v>
      </c>
      <c r="C21" s="92" t="s">
        <v>247</v>
      </c>
      <c r="D21" s="93" t="s">
        <v>248</v>
      </c>
      <c r="E21" s="118">
        <v>5.7850000000000001</v>
      </c>
      <c r="F21" s="72"/>
      <c r="G21" s="72">
        <v>4.085</v>
      </c>
      <c r="H21" s="72"/>
      <c r="I21" s="72"/>
      <c r="J21" s="72"/>
      <c r="K21" s="73" t="s">
        <v>249</v>
      </c>
      <c r="L21" s="73" t="s">
        <v>250</v>
      </c>
      <c r="M21" s="72">
        <v>4.085</v>
      </c>
      <c r="N21" s="74">
        <v>6642444.9000000004</v>
      </c>
      <c r="O21" s="75">
        <f>SUM(G21*1500000)</f>
        <v>6127500</v>
      </c>
      <c r="P21" s="76">
        <f>SUM(N21-O21)</f>
        <v>514944.90000000037</v>
      </c>
    </row>
    <row r="22" spans="1:16" ht="60" x14ac:dyDescent="0.3">
      <c r="A22" s="584"/>
      <c r="B22" s="94" t="s">
        <v>71</v>
      </c>
      <c r="C22" s="95" t="s">
        <v>247</v>
      </c>
      <c r="D22" s="96" t="s">
        <v>251</v>
      </c>
      <c r="E22" s="118">
        <v>19.399999999999999</v>
      </c>
      <c r="F22" s="80"/>
      <c r="G22" s="80"/>
      <c r="H22" s="80"/>
      <c r="I22" s="80">
        <v>4.9489999999999998</v>
      </c>
      <c r="J22" s="80"/>
      <c r="K22" s="81" t="s">
        <v>252</v>
      </c>
      <c r="L22" s="81" t="s">
        <v>253</v>
      </c>
      <c r="M22" s="80">
        <v>4.9489999999999998</v>
      </c>
      <c r="N22" s="82">
        <v>21330691.98</v>
      </c>
      <c r="O22" s="83">
        <f>SUM(M22*2200000)</f>
        <v>10887800</v>
      </c>
      <c r="P22" s="84">
        <f>SUM(N22-O22)</f>
        <v>10442891.98</v>
      </c>
    </row>
    <row r="23" spans="1:16" ht="48.6" thickBot="1" x14ac:dyDescent="0.35">
      <c r="A23" s="584"/>
      <c r="B23" s="94" t="s">
        <v>71</v>
      </c>
      <c r="C23" s="95" t="s">
        <v>247</v>
      </c>
      <c r="D23" s="96" t="s">
        <v>254</v>
      </c>
      <c r="E23" s="79">
        <v>1.1919999999999999</v>
      </c>
      <c r="F23" s="80"/>
      <c r="G23" s="80"/>
      <c r="I23" s="80"/>
      <c r="J23" s="80"/>
      <c r="K23" s="81" t="s">
        <v>202</v>
      </c>
      <c r="L23" s="81" t="s">
        <v>255</v>
      </c>
      <c r="M23" s="80">
        <v>1.1919999999999999</v>
      </c>
      <c r="N23" s="82">
        <v>4395914.9400000004</v>
      </c>
      <c r="P23" s="84">
        <f>SUM(N23-U23)</f>
        <v>4395914.9400000004</v>
      </c>
    </row>
    <row r="24" spans="1:16" ht="15" thickBot="1" x14ac:dyDescent="0.35">
      <c r="A24" s="585"/>
      <c r="B24" s="586" t="s">
        <v>208</v>
      </c>
      <c r="C24" s="586"/>
      <c r="D24" s="587"/>
      <c r="E24" s="100">
        <f>SUM(E21:E23)</f>
        <v>26.376999999999999</v>
      </c>
      <c r="F24" s="100"/>
      <c r="G24" s="100">
        <f>SUM(G21:G23)</f>
        <v>4.085</v>
      </c>
      <c r="H24" s="100">
        <f>SUM(H21:H23)</f>
        <v>0</v>
      </c>
      <c r="I24" s="100">
        <f>SUM(I21:I23)</f>
        <v>4.9489999999999998</v>
      </c>
      <c r="J24" s="100"/>
      <c r="K24" s="119"/>
      <c r="L24" s="119"/>
      <c r="M24" s="100">
        <f>SUM(M21:M23)</f>
        <v>10.225999999999999</v>
      </c>
      <c r="N24" s="120">
        <f>SUM(N21:N23)</f>
        <v>32369051.820000004</v>
      </c>
      <c r="O24" s="120">
        <f>SUM(O21:O23)</f>
        <v>17015300</v>
      </c>
      <c r="P24" s="121">
        <f>SUM(P21:P23)</f>
        <v>15353751.82</v>
      </c>
    </row>
    <row r="25" spans="1:16" ht="36" x14ac:dyDescent="0.3">
      <c r="A25" s="583" t="s">
        <v>256</v>
      </c>
      <c r="B25" s="91" t="s">
        <v>152</v>
      </c>
      <c r="C25" s="92" t="s">
        <v>257</v>
      </c>
      <c r="D25" s="122" t="s">
        <v>258</v>
      </c>
      <c r="E25" s="71">
        <v>1.538</v>
      </c>
      <c r="F25" s="72"/>
      <c r="G25" s="72"/>
      <c r="H25" s="72">
        <v>1.538</v>
      </c>
      <c r="I25" s="72"/>
      <c r="J25" s="72"/>
      <c r="K25" s="73" t="s">
        <v>202</v>
      </c>
      <c r="L25" s="73" t="s">
        <v>259</v>
      </c>
      <c r="M25" s="72">
        <v>1.538</v>
      </c>
      <c r="N25" s="74">
        <v>4872880</v>
      </c>
      <c r="O25" s="123">
        <f>SUM(M25*2800000)</f>
        <v>4306400</v>
      </c>
      <c r="P25" s="76">
        <f>SUM(N25-O25)</f>
        <v>566480</v>
      </c>
    </row>
    <row r="26" spans="1:16" ht="36" x14ac:dyDescent="0.3">
      <c r="A26" s="584"/>
      <c r="B26" s="94" t="s">
        <v>260</v>
      </c>
      <c r="C26" s="95" t="s">
        <v>261</v>
      </c>
      <c r="D26" s="124" t="s">
        <v>262</v>
      </c>
      <c r="E26" s="79">
        <v>0.66100000000000003</v>
      </c>
      <c r="F26" s="80"/>
      <c r="G26" s="80"/>
      <c r="H26" s="80"/>
      <c r="I26" s="80">
        <v>0.66100000000000003</v>
      </c>
      <c r="J26" s="80"/>
      <c r="K26" s="81" t="s">
        <v>202</v>
      </c>
      <c r="L26" s="81" t="s">
        <v>263</v>
      </c>
      <c r="M26" s="80">
        <v>0.66100000000000003</v>
      </c>
      <c r="N26" s="82">
        <v>1457720</v>
      </c>
      <c r="O26" s="125">
        <f>SUM(M26*2200000)</f>
        <v>1454200</v>
      </c>
      <c r="P26" s="84">
        <f>SUM(N26-O26)</f>
        <v>3520</v>
      </c>
    </row>
    <row r="27" spans="1:16" ht="36.6" thickBot="1" x14ac:dyDescent="0.35">
      <c r="A27" s="584"/>
      <c r="B27" s="94" t="s">
        <v>260</v>
      </c>
      <c r="C27" s="95" t="s">
        <v>261</v>
      </c>
      <c r="D27" s="124" t="s">
        <v>264</v>
      </c>
      <c r="E27" s="79">
        <v>1.7969999999999999</v>
      </c>
      <c r="F27" s="80"/>
      <c r="G27" s="80"/>
      <c r="H27" s="80">
        <v>1.7969999999999999</v>
      </c>
      <c r="I27" s="80"/>
      <c r="J27" s="80"/>
      <c r="K27" s="81" t="s">
        <v>202</v>
      </c>
      <c r="L27" s="81" t="s">
        <v>265</v>
      </c>
      <c r="M27" s="80">
        <v>1.7969999999999999</v>
      </c>
      <c r="N27" s="82">
        <v>8134842</v>
      </c>
      <c r="O27" s="125">
        <f>SUM(M27*2800000)</f>
        <v>5031600</v>
      </c>
      <c r="P27" s="84">
        <f>SUM(N27-O27)</f>
        <v>3103242</v>
      </c>
    </row>
    <row r="28" spans="1:16" ht="15" thickBot="1" x14ac:dyDescent="0.35">
      <c r="A28" s="585"/>
      <c r="B28" s="586" t="s">
        <v>208</v>
      </c>
      <c r="C28" s="586"/>
      <c r="D28" s="587"/>
      <c r="E28" s="101">
        <f>SUM(E25:E27)</f>
        <v>3.9959999999999996</v>
      </c>
      <c r="F28" s="101"/>
      <c r="G28" s="101"/>
      <c r="H28" s="101">
        <f>SUM(H25:H27)</f>
        <v>3.335</v>
      </c>
      <c r="I28" s="101">
        <f>SUM(I25:I27)</f>
        <v>0.66100000000000003</v>
      </c>
      <c r="J28" s="101"/>
      <c r="K28" s="102"/>
      <c r="L28" s="102"/>
      <c r="M28" s="101">
        <f>SUM(M25:M27)</f>
        <v>3.9959999999999996</v>
      </c>
      <c r="N28" s="103">
        <f>SUM(N25:N27)</f>
        <v>14465442</v>
      </c>
      <c r="O28" s="126">
        <f>SUM(O25:O27)</f>
        <v>10792200</v>
      </c>
      <c r="P28" s="104">
        <f>SUM(P25:P27)</f>
        <v>3673242</v>
      </c>
    </row>
    <row r="29" spans="1:16" ht="24" x14ac:dyDescent="0.3">
      <c r="A29" s="591" t="s">
        <v>266</v>
      </c>
      <c r="B29" s="91" t="s">
        <v>267</v>
      </c>
      <c r="C29" s="92" t="s">
        <v>268</v>
      </c>
      <c r="D29" s="122" t="s">
        <v>269</v>
      </c>
      <c r="E29" s="71">
        <v>6.7</v>
      </c>
      <c r="F29" s="72"/>
      <c r="G29" s="72"/>
      <c r="H29" s="72"/>
      <c r="I29" s="72">
        <v>3.32</v>
      </c>
      <c r="J29" s="72"/>
      <c r="K29" s="73" t="s">
        <v>202</v>
      </c>
      <c r="L29" s="73" t="s">
        <v>270</v>
      </c>
      <c r="M29" s="72">
        <v>3.32</v>
      </c>
      <c r="N29" s="74">
        <v>10861234</v>
      </c>
      <c r="O29" s="75">
        <f>SUM(M29*2200000)</f>
        <v>7304000</v>
      </c>
      <c r="P29" s="76">
        <f>SUM(N29-O29)</f>
        <v>3557234</v>
      </c>
    </row>
    <row r="30" spans="1:16" ht="36" x14ac:dyDescent="0.3">
      <c r="A30" s="592"/>
      <c r="B30" s="94" t="s">
        <v>148</v>
      </c>
      <c r="C30" s="95" t="s">
        <v>271</v>
      </c>
      <c r="D30" s="124" t="s">
        <v>272</v>
      </c>
      <c r="E30" s="79">
        <v>5.38</v>
      </c>
      <c r="F30" s="80"/>
      <c r="G30" s="80"/>
      <c r="H30" s="80"/>
      <c r="I30" s="80">
        <v>5.38</v>
      </c>
      <c r="J30" s="80"/>
      <c r="K30" s="81" t="s">
        <v>202</v>
      </c>
      <c r="L30" s="81" t="s">
        <v>273</v>
      </c>
      <c r="M30" s="80">
        <v>5.38</v>
      </c>
      <c r="N30" s="82">
        <v>17570361</v>
      </c>
      <c r="O30" s="83">
        <f>SUM(M30*2200000)</f>
        <v>11836000</v>
      </c>
      <c r="P30" s="84">
        <f>SUM(N30-O30)</f>
        <v>5734361</v>
      </c>
    </row>
    <row r="31" spans="1:16" ht="36" x14ac:dyDescent="0.3">
      <c r="A31" s="592"/>
      <c r="B31" s="94" t="s">
        <v>274</v>
      </c>
      <c r="C31" s="95" t="s">
        <v>275</v>
      </c>
      <c r="D31" s="124" t="s">
        <v>276</v>
      </c>
      <c r="E31" s="79">
        <v>1.246</v>
      </c>
      <c r="F31" s="80"/>
      <c r="G31" s="80"/>
      <c r="H31" s="80"/>
      <c r="J31" s="80"/>
      <c r="K31" s="81" t="s">
        <v>202</v>
      </c>
      <c r="L31" s="81" t="s">
        <v>277</v>
      </c>
      <c r="M31" s="80">
        <v>1.246</v>
      </c>
      <c r="N31" s="82">
        <v>3749222</v>
      </c>
      <c r="O31" s="125"/>
      <c r="P31" s="84">
        <f>SUM(N31-O31)</f>
        <v>3749222</v>
      </c>
    </row>
    <row r="32" spans="1:16" ht="48.6" thickBot="1" x14ac:dyDescent="0.35">
      <c r="A32" s="592"/>
      <c r="B32" s="94" t="s">
        <v>274</v>
      </c>
      <c r="C32" s="95" t="s">
        <v>275</v>
      </c>
      <c r="D32" s="127" t="s">
        <v>278</v>
      </c>
      <c r="E32" s="128">
        <v>3.3340000000000001</v>
      </c>
      <c r="F32" s="128"/>
      <c r="G32" s="128"/>
      <c r="H32" s="129"/>
      <c r="J32" s="129"/>
      <c r="K32" s="130" t="s">
        <v>202</v>
      </c>
      <c r="L32" s="130" t="s">
        <v>279</v>
      </c>
      <c r="M32" s="128">
        <v>3.3340000000000001</v>
      </c>
      <c r="N32" s="131">
        <v>11142054</v>
      </c>
      <c r="O32" s="131"/>
      <c r="P32" s="132">
        <f>SUM(N32-O32)</f>
        <v>11142054</v>
      </c>
    </row>
    <row r="33" spans="1:16" ht="15" thickBot="1" x14ac:dyDescent="0.35">
      <c r="A33" s="593"/>
      <c r="B33" s="586" t="s">
        <v>208</v>
      </c>
      <c r="C33" s="586"/>
      <c r="D33" s="587"/>
      <c r="E33" s="101">
        <f>SUM(E29:E32)</f>
        <v>16.66</v>
      </c>
      <c r="F33" s="101"/>
      <c r="G33" s="101"/>
      <c r="H33" s="101"/>
      <c r="I33" s="101">
        <f>SUM(I29:I32)</f>
        <v>8.6999999999999993</v>
      </c>
      <c r="J33" s="101"/>
      <c r="K33" s="102"/>
      <c r="L33" s="102"/>
      <c r="M33" s="101">
        <f>SUM(M29:M32)</f>
        <v>13.28</v>
      </c>
      <c r="N33" s="103">
        <f>SUM(N29:N32)</f>
        <v>43322871</v>
      </c>
      <c r="O33" s="103">
        <f>SUM(O29:O32)</f>
        <v>19140000</v>
      </c>
      <c r="P33" s="104">
        <f>SUM(P29:P32)</f>
        <v>24182871</v>
      </c>
    </row>
    <row r="34" spans="1:16" ht="48" x14ac:dyDescent="0.3">
      <c r="A34" s="583" t="s">
        <v>280</v>
      </c>
      <c r="B34" s="91" t="s">
        <v>281</v>
      </c>
      <c r="C34" s="92" t="s">
        <v>282</v>
      </c>
      <c r="D34" s="93" t="s">
        <v>283</v>
      </c>
      <c r="E34" s="71">
        <v>8.42</v>
      </c>
      <c r="F34" s="72"/>
      <c r="G34" s="72"/>
      <c r="H34" s="72"/>
      <c r="I34" s="72">
        <v>4.21</v>
      </c>
      <c r="J34" s="72"/>
      <c r="K34" s="73" t="s">
        <v>202</v>
      </c>
      <c r="L34" s="73" t="s">
        <v>284</v>
      </c>
      <c r="M34" s="72">
        <v>4.21</v>
      </c>
      <c r="N34" s="74">
        <v>27948165.73</v>
      </c>
      <c r="O34" s="75">
        <f>SUM(M34*2200000)</f>
        <v>9262000</v>
      </c>
      <c r="P34" s="76">
        <f>SUM(N34-O34)</f>
        <v>18686165.73</v>
      </c>
    </row>
    <row r="35" spans="1:16" ht="24.6" thickBot="1" x14ac:dyDescent="0.35">
      <c r="A35" s="584"/>
      <c r="B35" s="94" t="s">
        <v>285</v>
      </c>
      <c r="C35" s="95" t="s">
        <v>286</v>
      </c>
      <c r="D35" s="98" t="s">
        <v>287</v>
      </c>
      <c r="E35" s="79">
        <v>2.82</v>
      </c>
      <c r="F35" s="80"/>
      <c r="G35" s="80"/>
      <c r="H35" s="80">
        <v>2.82</v>
      </c>
      <c r="I35" s="80"/>
      <c r="J35" s="80"/>
      <c r="K35" s="81" t="s">
        <v>202</v>
      </c>
      <c r="L35" s="81" t="s">
        <v>288</v>
      </c>
      <c r="M35" s="80">
        <v>2.82</v>
      </c>
      <c r="N35" s="82">
        <v>8040104</v>
      </c>
      <c r="O35" s="83">
        <f>SUM(M35*2800000)</f>
        <v>7896000</v>
      </c>
      <c r="P35" s="84">
        <f>SUM(N35-O35)</f>
        <v>144104</v>
      </c>
    </row>
    <row r="36" spans="1:16" ht="15" thickBot="1" x14ac:dyDescent="0.35">
      <c r="A36" s="585"/>
      <c r="B36" s="586" t="s">
        <v>208</v>
      </c>
      <c r="C36" s="586"/>
      <c r="D36" s="587"/>
      <c r="E36" s="101">
        <f>SUM(E34:E35)</f>
        <v>11.24</v>
      </c>
      <c r="F36" s="101"/>
      <c r="G36" s="101"/>
      <c r="H36" s="101">
        <f>SUM(H34:H35)</f>
        <v>2.82</v>
      </c>
      <c r="I36" s="101">
        <f>SUM(I34:I35)</f>
        <v>4.21</v>
      </c>
      <c r="J36" s="101"/>
      <c r="K36" s="102"/>
      <c r="L36" s="102"/>
      <c r="M36" s="101">
        <f>SUM(M34:M35)</f>
        <v>7.0299999999999994</v>
      </c>
      <c r="N36" s="103">
        <f>SUM(N34:N35)</f>
        <v>35988269.730000004</v>
      </c>
      <c r="O36" s="103">
        <f>SUM(O34:O35)</f>
        <v>17158000</v>
      </c>
      <c r="P36" s="104">
        <f>SUM(P34:P35)</f>
        <v>18830269.73</v>
      </c>
    </row>
    <row r="37" spans="1:16" ht="36" x14ac:dyDescent="0.3">
      <c r="A37" s="583" t="s">
        <v>289</v>
      </c>
      <c r="B37" s="91" t="s">
        <v>290</v>
      </c>
      <c r="C37" s="93" t="s">
        <v>291</v>
      </c>
      <c r="D37" s="133" t="s">
        <v>292</v>
      </c>
      <c r="E37" s="71">
        <v>4.8230000000000004</v>
      </c>
      <c r="F37" s="72"/>
      <c r="G37" s="72"/>
      <c r="H37" s="72"/>
      <c r="I37" s="72">
        <v>4.8230000000000004</v>
      </c>
      <c r="J37" s="72"/>
      <c r="K37" s="73" t="s">
        <v>202</v>
      </c>
      <c r="L37" s="73" t="s">
        <v>293</v>
      </c>
      <c r="M37" s="72">
        <v>4.8230000000000004</v>
      </c>
      <c r="N37" s="74">
        <v>13288149</v>
      </c>
      <c r="O37" s="123">
        <f>SUM(I37*2200000)</f>
        <v>10610600</v>
      </c>
      <c r="P37" s="76">
        <f>SUM(N37-O37)</f>
        <v>2677549</v>
      </c>
    </row>
    <row r="38" spans="1:16" ht="24" x14ac:dyDescent="0.3">
      <c r="A38" s="584"/>
      <c r="B38" s="94" t="s">
        <v>76</v>
      </c>
      <c r="C38" s="96" t="s">
        <v>294</v>
      </c>
      <c r="D38" s="98" t="s">
        <v>295</v>
      </c>
      <c r="E38" s="79">
        <v>5.0860000000000003</v>
      </c>
      <c r="F38" s="80"/>
      <c r="G38" s="80"/>
      <c r="H38" s="80"/>
      <c r="I38" s="80">
        <v>3.0859999999999999</v>
      </c>
      <c r="J38" s="80"/>
      <c r="K38" s="81" t="s">
        <v>202</v>
      </c>
      <c r="L38" s="81" t="s">
        <v>296</v>
      </c>
      <c r="M38" s="80">
        <v>3.0859999999999999</v>
      </c>
      <c r="N38" s="134">
        <f>(Q38/5.086)*3.086</f>
        <v>0</v>
      </c>
      <c r="O38" s="125">
        <f>SUM(I38*2200000)</f>
        <v>6789200</v>
      </c>
      <c r="P38" s="84">
        <f>SUM(Q38-O38)</f>
        <v>-6789200</v>
      </c>
    </row>
    <row r="39" spans="1:16" ht="24.6" thickBot="1" x14ac:dyDescent="0.35">
      <c r="A39" s="584"/>
      <c r="B39" s="94" t="s">
        <v>290</v>
      </c>
      <c r="C39" s="96" t="s">
        <v>291</v>
      </c>
      <c r="D39" s="98" t="s">
        <v>297</v>
      </c>
      <c r="E39" s="79">
        <v>2.0249999999999999</v>
      </c>
      <c r="F39" s="80"/>
      <c r="G39" s="80"/>
      <c r="H39" s="80"/>
      <c r="I39" s="80">
        <v>2.0249999999999999</v>
      </c>
      <c r="J39" s="80"/>
      <c r="K39" s="81" t="s">
        <v>202</v>
      </c>
      <c r="L39" s="81" t="s">
        <v>298</v>
      </c>
      <c r="M39" s="80">
        <v>2.0249999999999999</v>
      </c>
      <c r="N39" s="82">
        <v>5288249</v>
      </c>
      <c r="O39" s="125">
        <f>SUM(E39*2200000)</f>
        <v>4455000</v>
      </c>
      <c r="P39" s="84">
        <f>SUM(N39-O39)</f>
        <v>833249</v>
      </c>
    </row>
    <row r="40" spans="1:16" ht="15" thickBot="1" x14ac:dyDescent="0.35">
      <c r="A40" s="585"/>
      <c r="B40" s="586" t="s">
        <v>208</v>
      </c>
      <c r="C40" s="586"/>
      <c r="D40" s="587"/>
      <c r="E40" s="101">
        <f>SUM(E37:E39)</f>
        <v>11.934000000000001</v>
      </c>
      <c r="F40" s="101"/>
      <c r="G40" s="101"/>
      <c r="H40" s="101"/>
      <c r="I40" s="101">
        <f>SUM(I37:I39)</f>
        <v>9.9340000000000011</v>
      </c>
      <c r="J40" s="101"/>
      <c r="K40" s="102"/>
      <c r="L40" s="102"/>
      <c r="M40" s="101">
        <f>SUM(M37:M39)</f>
        <v>9.9340000000000011</v>
      </c>
      <c r="N40" s="103">
        <f>SUM(N37:N39)</f>
        <v>18576398</v>
      </c>
      <c r="O40" s="126">
        <f>SUM(O37:O39)</f>
        <v>21854800</v>
      </c>
      <c r="P40" s="104">
        <f>SUM(P37:P39)</f>
        <v>-3278402</v>
      </c>
    </row>
    <row r="41" spans="1:16" ht="48" x14ac:dyDescent="0.3">
      <c r="A41" s="591" t="s">
        <v>299</v>
      </c>
      <c r="B41" s="91" t="s">
        <v>300</v>
      </c>
      <c r="C41" s="135" t="s">
        <v>301</v>
      </c>
      <c r="D41" s="133" t="s">
        <v>302</v>
      </c>
      <c r="E41" s="71">
        <v>3.69</v>
      </c>
      <c r="F41" s="72"/>
      <c r="G41" s="72">
        <v>3.69</v>
      </c>
      <c r="H41" s="72"/>
      <c r="I41" s="72"/>
      <c r="J41" s="72"/>
      <c r="K41" s="73" t="s">
        <v>202</v>
      </c>
      <c r="L41" s="73" t="s">
        <v>236</v>
      </c>
      <c r="M41" s="72">
        <v>3.69</v>
      </c>
      <c r="N41" s="74">
        <v>5906240</v>
      </c>
      <c r="O41" s="75">
        <f>SUM(M41*1500000)</f>
        <v>5535000</v>
      </c>
      <c r="P41" s="76">
        <f>SUM(N41-O41)</f>
        <v>371240</v>
      </c>
    </row>
    <row r="42" spans="1:16" ht="36" x14ac:dyDescent="0.3">
      <c r="A42" s="592"/>
      <c r="B42" s="136" t="s">
        <v>300</v>
      </c>
      <c r="C42" s="78" t="s">
        <v>303</v>
      </c>
      <c r="D42" s="96" t="s">
        <v>304</v>
      </c>
      <c r="E42" s="79">
        <v>0.85799999999999998</v>
      </c>
      <c r="F42" s="80"/>
      <c r="G42" s="80"/>
      <c r="H42" s="80">
        <v>0.85799999999999998</v>
      </c>
      <c r="I42" s="80"/>
      <c r="J42" s="80"/>
      <c r="K42" s="81" t="s">
        <v>202</v>
      </c>
      <c r="L42" s="81" t="s">
        <v>305</v>
      </c>
      <c r="M42" s="80">
        <v>0.85799999999999998</v>
      </c>
      <c r="N42" s="82">
        <v>3089981</v>
      </c>
      <c r="O42" s="83">
        <f>SUM(H42*2800000)</f>
        <v>2402400</v>
      </c>
      <c r="P42" s="84">
        <f>SUM(N42-O42)</f>
        <v>687581</v>
      </c>
    </row>
    <row r="43" spans="1:16" ht="36" x14ac:dyDescent="0.3">
      <c r="A43" s="592"/>
      <c r="B43" s="94" t="s">
        <v>300</v>
      </c>
      <c r="C43" s="78" t="s">
        <v>306</v>
      </c>
      <c r="D43" s="137" t="s">
        <v>307</v>
      </c>
      <c r="E43" s="79">
        <v>1.78</v>
      </c>
      <c r="F43" s="80"/>
      <c r="G43" s="80"/>
      <c r="I43" s="80"/>
      <c r="J43" s="80"/>
      <c r="K43" s="81" t="s">
        <v>202</v>
      </c>
      <c r="L43" s="81" t="s">
        <v>308</v>
      </c>
      <c r="M43" s="80">
        <v>1.78</v>
      </c>
      <c r="N43" s="82">
        <v>5417713</v>
      </c>
      <c r="P43" s="84">
        <f>SUM(N43-U43)</f>
        <v>5417713</v>
      </c>
    </row>
    <row r="44" spans="1:16" ht="24.6" thickBot="1" x14ac:dyDescent="0.35">
      <c r="A44" s="592"/>
      <c r="B44" s="138" t="s">
        <v>300</v>
      </c>
      <c r="C44" s="139" t="s">
        <v>309</v>
      </c>
      <c r="D44" s="140" t="s">
        <v>310</v>
      </c>
      <c r="E44" s="128">
        <v>3.05</v>
      </c>
      <c r="F44" s="128"/>
      <c r="G44" s="128"/>
      <c r="H44" s="129"/>
      <c r="I44" s="129"/>
      <c r="J44" s="141">
        <v>3.05</v>
      </c>
      <c r="K44" s="130" t="s">
        <v>202</v>
      </c>
      <c r="L44" s="130" t="s">
        <v>311</v>
      </c>
      <c r="M44" s="128">
        <v>3.05</v>
      </c>
      <c r="N44" s="131">
        <v>9680569</v>
      </c>
      <c r="O44" s="142">
        <f>SUM(J44*2800000)</f>
        <v>8540000</v>
      </c>
      <c r="P44" s="132">
        <f>SUM(N44-O44)</f>
        <v>1140569</v>
      </c>
    </row>
    <row r="45" spans="1:16" ht="15" thickBot="1" x14ac:dyDescent="0.35">
      <c r="A45" s="593"/>
      <c r="B45" s="586" t="s">
        <v>208</v>
      </c>
      <c r="C45" s="586"/>
      <c r="D45" s="587"/>
      <c r="E45" s="101">
        <f>SUM(E41:E44)</f>
        <v>9.3780000000000001</v>
      </c>
      <c r="F45" s="101"/>
      <c r="G45" s="101">
        <f>SUM(G41:G44)</f>
        <v>3.69</v>
      </c>
      <c r="H45" s="101">
        <f>SUM(H42:H44)</f>
        <v>0.85799999999999998</v>
      </c>
      <c r="I45" s="101"/>
      <c r="J45" s="101">
        <f>SUM(J41:J44)</f>
        <v>3.05</v>
      </c>
      <c r="K45" s="102"/>
      <c r="L45" s="102"/>
      <c r="M45" s="101">
        <f>SUM(M41:M44)</f>
        <v>9.3780000000000001</v>
      </c>
      <c r="N45" s="103">
        <f>SUM(N41:N44)</f>
        <v>24094503</v>
      </c>
      <c r="O45" s="103">
        <f>SUM(O41:O44)</f>
        <v>16477400</v>
      </c>
      <c r="P45" s="104">
        <f>SUM(P41:P44)</f>
        <v>7617103</v>
      </c>
    </row>
    <row r="46" spans="1:16" ht="48" x14ac:dyDescent="0.3">
      <c r="A46" s="583" t="s">
        <v>312</v>
      </c>
      <c r="B46" s="143" t="s">
        <v>313</v>
      </c>
      <c r="C46" s="144" t="s">
        <v>314</v>
      </c>
      <c r="D46" s="135" t="s">
        <v>315</v>
      </c>
      <c r="E46" s="71">
        <v>4.3620000000000001</v>
      </c>
      <c r="F46" s="72"/>
      <c r="G46" s="72"/>
      <c r="H46" s="72"/>
      <c r="I46" s="71">
        <v>3.8719999999999999</v>
      </c>
      <c r="J46" s="71"/>
      <c r="K46" s="73" t="s">
        <v>316</v>
      </c>
      <c r="L46" s="73" t="s">
        <v>317</v>
      </c>
      <c r="M46" s="71">
        <v>3.8719999999999999</v>
      </c>
      <c r="N46" s="74">
        <v>12721137</v>
      </c>
      <c r="O46" s="75">
        <f>SUM(M46*2200000)</f>
        <v>8518400</v>
      </c>
      <c r="P46" s="76">
        <f t="shared" ref="P46:P55" si="0">SUM(N46-O46)</f>
        <v>4202737</v>
      </c>
    </row>
    <row r="47" spans="1:16" ht="36" x14ac:dyDescent="0.3">
      <c r="A47" s="584"/>
      <c r="B47" s="145" t="s">
        <v>313</v>
      </c>
      <c r="C47" s="95" t="s">
        <v>314</v>
      </c>
      <c r="D47" s="78" t="s">
        <v>318</v>
      </c>
      <c r="E47" s="79">
        <v>1.849</v>
      </c>
      <c r="F47" s="80"/>
      <c r="G47" s="80"/>
      <c r="H47" s="80"/>
      <c r="I47" s="79">
        <v>1.849</v>
      </c>
      <c r="J47" s="79"/>
      <c r="K47" s="81" t="s">
        <v>202</v>
      </c>
      <c r="L47" s="81" t="s">
        <v>319</v>
      </c>
      <c r="M47" s="79">
        <v>1.849</v>
      </c>
      <c r="N47" s="82">
        <v>5793131</v>
      </c>
      <c r="O47" s="83">
        <f>SUM(M47*2200000)</f>
        <v>4067800</v>
      </c>
      <c r="P47" s="84">
        <f t="shared" si="0"/>
        <v>1725331</v>
      </c>
    </row>
    <row r="48" spans="1:16" x14ac:dyDescent="0.3">
      <c r="A48" s="584"/>
      <c r="B48" s="145" t="s">
        <v>313</v>
      </c>
      <c r="C48" s="95" t="s">
        <v>320</v>
      </c>
      <c r="D48" s="78" t="s">
        <v>321</v>
      </c>
      <c r="E48" s="79">
        <v>2.6080000000000001</v>
      </c>
      <c r="F48" s="80"/>
      <c r="G48" s="80"/>
      <c r="H48" s="80"/>
      <c r="J48" s="79"/>
      <c r="K48" s="81" t="s">
        <v>202</v>
      </c>
      <c r="L48" s="81" t="s">
        <v>322</v>
      </c>
      <c r="M48" s="79">
        <v>2.6080000000000001</v>
      </c>
      <c r="N48" s="82">
        <v>7909007</v>
      </c>
      <c r="P48" s="84">
        <f>SUM(N48-U48)</f>
        <v>7909007</v>
      </c>
    </row>
    <row r="49" spans="1:16" ht="36" x14ac:dyDescent="0.3">
      <c r="A49" s="584"/>
      <c r="B49" s="145" t="s">
        <v>323</v>
      </c>
      <c r="C49" s="95" t="s">
        <v>324</v>
      </c>
      <c r="D49" s="78" t="s">
        <v>325</v>
      </c>
      <c r="E49" s="79">
        <v>2.008</v>
      </c>
      <c r="F49" s="80"/>
      <c r="G49" s="80"/>
      <c r="H49" s="80"/>
      <c r="I49" s="472"/>
      <c r="J49" s="79"/>
      <c r="K49" s="81" t="s">
        <v>202</v>
      </c>
      <c r="L49" s="81" t="s">
        <v>326</v>
      </c>
      <c r="M49" s="79">
        <v>2.008</v>
      </c>
      <c r="N49" s="82">
        <v>7084621</v>
      </c>
      <c r="O49" s="472"/>
      <c r="P49" s="84">
        <f>SUM(N49-U49)</f>
        <v>7084621</v>
      </c>
    </row>
    <row r="50" spans="1:16" ht="24" x14ac:dyDescent="0.3">
      <c r="A50" s="584"/>
      <c r="B50" s="145" t="s">
        <v>313</v>
      </c>
      <c r="C50" s="95" t="s">
        <v>327</v>
      </c>
      <c r="D50" s="78" t="s">
        <v>328</v>
      </c>
      <c r="E50" s="79">
        <v>1.177</v>
      </c>
      <c r="F50" s="80"/>
      <c r="G50" s="80"/>
      <c r="H50" s="80"/>
      <c r="J50" s="79"/>
      <c r="K50" s="81" t="s">
        <v>202</v>
      </c>
      <c r="L50" s="81" t="s">
        <v>329</v>
      </c>
      <c r="M50" s="79">
        <v>1.177</v>
      </c>
      <c r="N50" s="82">
        <v>3434647</v>
      </c>
      <c r="O50" s="472"/>
      <c r="P50" s="84">
        <f>SUM(N50-U50)</f>
        <v>3434647</v>
      </c>
    </row>
    <row r="51" spans="1:16" ht="24.6" thickBot="1" x14ac:dyDescent="0.35">
      <c r="A51" s="584"/>
      <c r="B51" s="146" t="s">
        <v>313</v>
      </c>
      <c r="C51" s="147" t="s">
        <v>327</v>
      </c>
      <c r="D51" s="148" t="s">
        <v>330</v>
      </c>
      <c r="E51" s="149">
        <v>4.3140000000000001</v>
      </c>
      <c r="F51" s="150"/>
      <c r="G51" s="150"/>
      <c r="H51" s="150"/>
      <c r="I51" s="478"/>
      <c r="J51" s="149"/>
      <c r="K51" s="151" t="s">
        <v>202</v>
      </c>
      <c r="L51" s="151" t="s">
        <v>331</v>
      </c>
      <c r="M51" s="149">
        <v>4.3140000000000001</v>
      </c>
      <c r="N51" s="152">
        <v>12402214</v>
      </c>
      <c r="P51" s="153">
        <f>SUM(N51-U51)</f>
        <v>12402214</v>
      </c>
    </row>
    <row r="52" spans="1:16" ht="15" thickBot="1" x14ac:dyDescent="0.35">
      <c r="A52" s="585"/>
      <c r="B52" s="586" t="s">
        <v>208</v>
      </c>
      <c r="C52" s="586"/>
      <c r="D52" s="587"/>
      <c r="E52" s="101">
        <f>SUM(E46:E51)</f>
        <v>16.318000000000001</v>
      </c>
      <c r="F52" s="101"/>
      <c r="G52" s="101"/>
      <c r="H52" s="101"/>
      <c r="I52" s="101">
        <f>SUM(I46:I51)</f>
        <v>5.7210000000000001</v>
      </c>
      <c r="J52" s="101"/>
      <c r="K52" s="102"/>
      <c r="L52" s="102"/>
      <c r="M52" s="101">
        <f>SUM(M46:M51)</f>
        <v>15.827999999999999</v>
      </c>
      <c r="N52" s="103">
        <f>SUM(N46:N51)</f>
        <v>49344757</v>
      </c>
      <c r="O52" s="103">
        <f>SUM(O46:O51)</f>
        <v>12586200</v>
      </c>
      <c r="P52" s="104">
        <f t="shared" si="0"/>
        <v>36758557</v>
      </c>
    </row>
    <row r="53" spans="1:16" ht="60" x14ac:dyDescent="0.3">
      <c r="A53" s="583" t="s">
        <v>332</v>
      </c>
      <c r="B53" s="154" t="s">
        <v>333</v>
      </c>
      <c r="C53" s="155" t="s">
        <v>334</v>
      </c>
      <c r="D53" s="133" t="s">
        <v>335</v>
      </c>
      <c r="E53" s="156">
        <v>3.02</v>
      </c>
      <c r="F53" s="157"/>
      <c r="G53" s="157"/>
      <c r="H53" s="157"/>
      <c r="I53" s="157">
        <v>3.02</v>
      </c>
      <c r="J53" s="157"/>
      <c r="K53" s="158" t="s">
        <v>202</v>
      </c>
      <c r="L53" s="158" t="s">
        <v>336</v>
      </c>
      <c r="M53" s="157">
        <v>3.02</v>
      </c>
      <c r="N53" s="159">
        <v>6981237</v>
      </c>
      <c r="O53" s="75">
        <f>SUM(M53*2200000)</f>
        <v>6644000</v>
      </c>
      <c r="P53" s="160">
        <f t="shared" si="0"/>
        <v>337237</v>
      </c>
    </row>
    <row r="54" spans="1:16" ht="36" x14ac:dyDescent="0.3">
      <c r="A54" s="584"/>
      <c r="B54" s="94" t="s">
        <v>337</v>
      </c>
      <c r="C54" s="161" t="s">
        <v>338</v>
      </c>
      <c r="D54" s="96" t="s">
        <v>339</v>
      </c>
      <c r="E54" s="162">
        <v>4.2</v>
      </c>
      <c r="F54" s="163"/>
      <c r="G54" s="163"/>
      <c r="H54" s="163"/>
      <c r="I54" s="163">
        <v>4.2</v>
      </c>
      <c r="J54" s="163"/>
      <c r="K54" s="164" t="s">
        <v>202</v>
      </c>
      <c r="L54" s="164" t="s">
        <v>340</v>
      </c>
      <c r="M54" s="163">
        <v>4.2</v>
      </c>
      <c r="N54" s="159">
        <v>10976679</v>
      </c>
      <c r="O54" s="83">
        <f>SUM(M54*2200000)</f>
        <v>9240000</v>
      </c>
      <c r="P54" s="160">
        <f t="shared" si="0"/>
        <v>1736679</v>
      </c>
    </row>
    <row r="55" spans="1:16" ht="60" x14ac:dyDescent="0.3">
      <c r="A55" s="584"/>
      <c r="B55" s="94" t="s">
        <v>337</v>
      </c>
      <c r="C55" s="161" t="s">
        <v>341</v>
      </c>
      <c r="D55" s="96" t="s">
        <v>342</v>
      </c>
      <c r="E55" s="162">
        <v>6.1</v>
      </c>
      <c r="F55" s="163"/>
      <c r="G55" s="163"/>
      <c r="H55" s="163"/>
      <c r="I55" s="163">
        <v>2.9630000000000001</v>
      </c>
      <c r="J55" s="163"/>
      <c r="K55" s="164" t="s">
        <v>202</v>
      </c>
      <c r="L55" s="164" t="s">
        <v>343</v>
      </c>
      <c r="M55" s="163">
        <v>2.9630000000000001</v>
      </c>
      <c r="N55" s="159">
        <v>9965576</v>
      </c>
      <c r="O55" s="83">
        <f>SUM(M55*2200000)</f>
        <v>6518600</v>
      </c>
      <c r="P55" s="160">
        <f t="shared" si="0"/>
        <v>3446976</v>
      </c>
    </row>
    <row r="56" spans="1:16" ht="36" x14ac:dyDescent="0.3">
      <c r="A56" s="584"/>
      <c r="B56" s="94" t="s">
        <v>344</v>
      </c>
      <c r="C56" s="165" t="s">
        <v>345</v>
      </c>
      <c r="D56" s="96" t="s">
        <v>346</v>
      </c>
      <c r="E56" s="162">
        <v>2.3130000000000002</v>
      </c>
      <c r="F56" s="163"/>
      <c r="G56" s="163"/>
      <c r="H56" s="163"/>
      <c r="I56" s="472"/>
      <c r="J56" s="163"/>
      <c r="K56" s="164" t="s">
        <v>202</v>
      </c>
      <c r="L56" s="164" t="s">
        <v>347</v>
      </c>
      <c r="M56" s="163">
        <v>2.3130000000000002</v>
      </c>
      <c r="N56" s="159">
        <v>7093236</v>
      </c>
      <c r="P56" s="160">
        <f>SUM(N56-U56)</f>
        <v>7093236</v>
      </c>
    </row>
    <row r="57" spans="1:16" ht="48" x14ac:dyDescent="0.3">
      <c r="A57" s="584"/>
      <c r="B57" s="94" t="s">
        <v>344</v>
      </c>
      <c r="C57" s="161" t="s">
        <v>345</v>
      </c>
      <c r="D57" s="96" t="s">
        <v>348</v>
      </c>
      <c r="E57" s="162">
        <v>2.746</v>
      </c>
      <c r="F57" s="163"/>
      <c r="G57" s="163"/>
      <c r="H57" s="163"/>
      <c r="I57" s="472"/>
      <c r="J57" s="163"/>
      <c r="K57" s="164" t="s">
        <v>202</v>
      </c>
      <c r="L57" s="164" t="s">
        <v>349</v>
      </c>
      <c r="M57" s="163">
        <v>2.746</v>
      </c>
      <c r="N57" s="159">
        <v>7336057</v>
      </c>
      <c r="O57" s="472"/>
      <c r="P57" s="160">
        <f>SUM(N57-U57)</f>
        <v>7336057</v>
      </c>
    </row>
    <row r="58" spans="1:16" ht="48" x14ac:dyDescent="0.3">
      <c r="A58" s="584"/>
      <c r="B58" s="94" t="s">
        <v>333</v>
      </c>
      <c r="C58" s="161" t="s">
        <v>350</v>
      </c>
      <c r="D58" s="96" t="s">
        <v>351</v>
      </c>
      <c r="E58" s="162">
        <v>6.4429999999999996</v>
      </c>
      <c r="F58" s="163"/>
      <c r="G58" s="163"/>
      <c r="H58" s="163"/>
      <c r="J58" s="163"/>
      <c r="K58" s="164" t="s">
        <v>202</v>
      </c>
      <c r="L58" s="164" t="s">
        <v>352</v>
      </c>
      <c r="M58" s="163">
        <v>6.4429999999999996</v>
      </c>
      <c r="N58" s="159">
        <v>23775435</v>
      </c>
      <c r="O58" s="472"/>
      <c r="P58" s="160">
        <f>SUM(N58-U58)</f>
        <v>23775435</v>
      </c>
    </row>
    <row r="59" spans="1:16" ht="60" x14ac:dyDescent="0.3">
      <c r="A59" s="584"/>
      <c r="B59" s="94" t="s">
        <v>337</v>
      </c>
      <c r="C59" s="161" t="s">
        <v>353</v>
      </c>
      <c r="D59" s="96" t="s">
        <v>354</v>
      </c>
      <c r="E59" s="162">
        <v>3.8</v>
      </c>
      <c r="F59" s="163"/>
      <c r="G59" s="163"/>
      <c r="H59" s="163"/>
      <c r="I59" s="472"/>
      <c r="J59" s="163"/>
      <c r="K59" s="164" t="s">
        <v>202</v>
      </c>
      <c r="L59" s="164" t="s">
        <v>355</v>
      </c>
      <c r="M59" s="163">
        <v>3.8</v>
      </c>
      <c r="N59" s="159">
        <v>9809791</v>
      </c>
      <c r="P59" s="160">
        <f>SUM(N59-U59)</f>
        <v>9809791</v>
      </c>
    </row>
    <row r="60" spans="1:16" ht="36.6" thickBot="1" x14ac:dyDescent="0.35">
      <c r="A60" s="584"/>
      <c r="B60" s="166" t="s">
        <v>337</v>
      </c>
      <c r="C60" s="167" t="s">
        <v>356</v>
      </c>
      <c r="D60" s="168" t="s">
        <v>357</v>
      </c>
      <c r="E60" s="169">
        <v>3.6040000000000001</v>
      </c>
      <c r="F60" s="170"/>
      <c r="G60" s="170"/>
      <c r="I60" s="170"/>
      <c r="J60" s="170"/>
      <c r="K60" s="171" t="s">
        <v>358</v>
      </c>
      <c r="L60" s="171" t="s">
        <v>359</v>
      </c>
      <c r="M60" s="170">
        <v>2.3039999999999998</v>
      </c>
      <c r="N60" s="172">
        <v>6746009</v>
      </c>
      <c r="O60" s="478"/>
      <c r="P60" s="173">
        <f>SUM(N60-U60)</f>
        <v>6746009</v>
      </c>
    </row>
    <row r="61" spans="1:16" ht="15" thickBot="1" x14ac:dyDescent="0.35">
      <c r="A61" s="585"/>
      <c r="B61" s="594" t="s">
        <v>208</v>
      </c>
      <c r="C61" s="586"/>
      <c r="D61" s="587"/>
      <c r="E61" s="87">
        <f>SUM(E53:E60)</f>
        <v>32.226000000000006</v>
      </c>
      <c r="F61" s="174"/>
      <c r="G61" s="174"/>
      <c r="H61" s="175">
        <f>SUM(H53:H60)</f>
        <v>0</v>
      </c>
      <c r="I61" s="175">
        <f>SUM(I53:I60)</f>
        <v>10.183</v>
      </c>
      <c r="J61" s="175"/>
      <c r="K61" s="176"/>
      <c r="L61" s="176"/>
      <c r="M61" s="87">
        <f>SUM(M53:M60)</f>
        <v>27.789000000000001</v>
      </c>
      <c r="N61" s="89">
        <f>SUM(N53:N60)</f>
        <v>82684020</v>
      </c>
      <c r="O61" s="89">
        <f>SUM(O53:O60)</f>
        <v>22402600</v>
      </c>
      <c r="P61" s="90">
        <f>SUM(P53:P60)</f>
        <v>60281420</v>
      </c>
    </row>
    <row r="62" spans="1:16" ht="48" x14ac:dyDescent="0.3">
      <c r="A62" s="583" t="s">
        <v>360</v>
      </c>
      <c r="B62" s="91" t="s">
        <v>361</v>
      </c>
      <c r="C62" s="92" t="s">
        <v>362</v>
      </c>
      <c r="D62" s="133" t="s">
        <v>363</v>
      </c>
      <c r="E62" s="71">
        <v>9.7279999999999998</v>
      </c>
      <c r="F62" s="72"/>
      <c r="G62" s="72"/>
      <c r="H62" s="72"/>
      <c r="I62" s="72">
        <v>9.7279999999999998</v>
      </c>
      <c r="J62" s="72"/>
      <c r="K62" s="73" t="s">
        <v>202</v>
      </c>
      <c r="L62" s="73" t="s">
        <v>364</v>
      </c>
      <c r="M62" s="72">
        <v>9.7279999999999998</v>
      </c>
      <c r="N62" s="74">
        <v>23629358.399999999</v>
      </c>
      <c r="O62" s="75">
        <f>SUM(I62*2200000)</f>
        <v>21401600</v>
      </c>
      <c r="P62" s="76">
        <f>SUM(N62-O62)</f>
        <v>2227758.3999999985</v>
      </c>
    </row>
    <row r="63" spans="1:16" ht="24" x14ac:dyDescent="0.3">
      <c r="A63" s="584"/>
      <c r="B63" s="94" t="s">
        <v>365</v>
      </c>
      <c r="C63" s="95" t="s">
        <v>366</v>
      </c>
      <c r="D63" s="177" t="s">
        <v>367</v>
      </c>
      <c r="E63" s="79">
        <v>12.798</v>
      </c>
      <c r="F63" s="80"/>
      <c r="G63" s="80"/>
      <c r="H63" s="80"/>
      <c r="I63" s="80">
        <v>6.827</v>
      </c>
      <c r="J63" s="80"/>
      <c r="K63" s="81" t="s">
        <v>368</v>
      </c>
      <c r="L63" s="81" t="s">
        <v>369</v>
      </c>
      <c r="M63" s="80">
        <v>6.827</v>
      </c>
      <c r="N63" s="82">
        <v>18440708</v>
      </c>
      <c r="O63" s="83">
        <f>SUM(M63*2200000)</f>
        <v>15019400</v>
      </c>
      <c r="P63" s="84">
        <f>SUM(N63-O63)</f>
        <v>3421308</v>
      </c>
    </row>
    <row r="64" spans="1:16" ht="96.6" thickBot="1" x14ac:dyDescent="0.35">
      <c r="A64" s="584"/>
      <c r="B64" s="94" t="s">
        <v>370</v>
      </c>
      <c r="C64" s="95" t="s">
        <v>371</v>
      </c>
      <c r="D64" s="98" t="s">
        <v>372</v>
      </c>
      <c r="E64" s="79">
        <v>6.944</v>
      </c>
      <c r="F64" s="80"/>
      <c r="G64" s="80"/>
      <c r="H64" s="80"/>
      <c r="J64" s="80"/>
      <c r="K64" s="81" t="s">
        <v>373</v>
      </c>
      <c r="L64" s="81" t="s">
        <v>374</v>
      </c>
      <c r="M64" s="80">
        <v>3</v>
      </c>
      <c r="N64" s="82">
        <v>10202294</v>
      </c>
      <c r="P64" s="84">
        <f>SUM(N64-U64)</f>
        <v>10202294</v>
      </c>
    </row>
    <row r="65" spans="1:16" ht="15" thickBot="1" x14ac:dyDescent="0.35">
      <c r="A65" s="585"/>
      <c r="B65" s="586" t="s">
        <v>208</v>
      </c>
      <c r="C65" s="586"/>
      <c r="D65" s="587"/>
      <c r="E65" s="101">
        <f>SUM(E62:E64)</f>
        <v>29.47</v>
      </c>
      <c r="F65" s="101"/>
      <c r="G65" s="101"/>
      <c r="H65" s="101"/>
      <c r="I65" s="101">
        <f>SUM(I62:I64)</f>
        <v>16.555</v>
      </c>
      <c r="J65" s="101"/>
      <c r="K65" s="102"/>
      <c r="L65" s="102"/>
      <c r="M65" s="101">
        <f>SUM(M62:M64)</f>
        <v>19.555</v>
      </c>
      <c r="N65" s="103">
        <f>SUM(N62:N64)</f>
        <v>52272360.399999999</v>
      </c>
      <c r="O65" s="103">
        <f>SUM(O62:O64)</f>
        <v>36421000</v>
      </c>
      <c r="P65" s="104">
        <f>SUM(P62:P64)</f>
        <v>15851360.399999999</v>
      </c>
    </row>
    <row r="66" spans="1:16" ht="48" x14ac:dyDescent="0.3">
      <c r="A66" s="583" t="s">
        <v>375</v>
      </c>
      <c r="B66" s="91" t="s">
        <v>376</v>
      </c>
      <c r="C66" s="178" t="s">
        <v>377</v>
      </c>
      <c r="D66" s="133" t="s">
        <v>378</v>
      </c>
      <c r="E66" s="71">
        <v>6.9009999999999998</v>
      </c>
      <c r="F66" s="72"/>
      <c r="G66" s="72"/>
      <c r="H66" s="72"/>
      <c r="I66" s="72">
        <v>3.101</v>
      </c>
      <c r="J66" s="72"/>
      <c r="K66" s="73" t="s">
        <v>202</v>
      </c>
      <c r="L66" s="73" t="s">
        <v>379</v>
      </c>
      <c r="M66" s="72">
        <v>3.101</v>
      </c>
      <c r="N66" s="74">
        <v>7103924</v>
      </c>
      <c r="O66" s="123">
        <f>SUM(M66*2200000)</f>
        <v>6822200</v>
      </c>
      <c r="P66" s="76">
        <f>SUM(N66-O66)</f>
        <v>281724</v>
      </c>
    </row>
    <row r="67" spans="1:16" ht="36.6" thickBot="1" x14ac:dyDescent="0.35">
      <c r="A67" s="584"/>
      <c r="B67" s="94" t="s">
        <v>376</v>
      </c>
      <c r="C67" s="95" t="s">
        <v>377</v>
      </c>
      <c r="D67" s="98" t="s">
        <v>380</v>
      </c>
      <c r="E67" s="79">
        <v>4.37</v>
      </c>
      <c r="F67" s="80"/>
      <c r="G67" s="80"/>
      <c r="H67" s="80"/>
      <c r="I67" s="80">
        <v>1.36</v>
      </c>
      <c r="J67" s="80"/>
      <c r="K67" s="81" t="s">
        <v>202</v>
      </c>
      <c r="L67" s="81" t="s">
        <v>381</v>
      </c>
      <c r="M67" s="80">
        <v>1.36</v>
      </c>
      <c r="N67" s="82">
        <v>3730166</v>
      </c>
      <c r="O67" s="125">
        <f>SUM(M67*2200000)</f>
        <v>2992000</v>
      </c>
      <c r="P67" s="84">
        <f>SUM(N67-O67)</f>
        <v>738166</v>
      </c>
    </row>
    <row r="68" spans="1:16" ht="15" thickBot="1" x14ac:dyDescent="0.35">
      <c r="A68" s="585"/>
      <c r="B68" s="586" t="s">
        <v>208</v>
      </c>
      <c r="C68" s="586"/>
      <c r="D68" s="587"/>
      <c r="E68" s="101">
        <f>SUM(E66:E67)</f>
        <v>11.271000000000001</v>
      </c>
      <c r="F68" s="101"/>
      <c r="G68" s="101"/>
      <c r="H68" s="101"/>
      <c r="I68" s="101">
        <f>SUM(I66:I67)</f>
        <v>4.4610000000000003</v>
      </c>
      <c r="J68" s="101"/>
      <c r="K68" s="102"/>
      <c r="L68" s="102"/>
      <c r="M68" s="101">
        <f>SUM(M66:M67)</f>
        <v>4.4610000000000003</v>
      </c>
      <c r="N68" s="103">
        <f>SUM(N66:N67)</f>
        <v>10834090</v>
      </c>
      <c r="O68" s="126">
        <f>SUM(O66:O67)</f>
        <v>9814200</v>
      </c>
      <c r="P68" s="104">
        <f>SUM(P66:P67)</f>
        <v>1019890</v>
      </c>
    </row>
    <row r="69" spans="1:16" ht="36.6" thickBot="1" x14ac:dyDescent="0.35">
      <c r="A69" s="583" t="s">
        <v>382</v>
      </c>
      <c r="B69" s="91" t="s">
        <v>383</v>
      </c>
      <c r="C69" s="92" t="s">
        <v>384</v>
      </c>
      <c r="D69" s="133" t="s">
        <v>385</v>
      </c>
      <c r="E69" s="71">
        <v>5.4740000000000002</v>
      </c>
      <c r="F69" s="72"/>
      <c r="G69" s="72"/>
      <c r="H69" s="72"/>
      <c r="I69" s="72">
        <v>4.274</v>
      </c>
      <c r="J69" s="72"/>
      <c r="K69" s="73" t="s">
        <v>386</v>
      </c>
      <c r="L69" s="73" t="s">
        <v>387</v>
      </c>
      <c r="M69" s="72">
        <v>4.274</v>
      </c>
      <c r="N69" s="74">
        <v>10661717.25</v>
      </c>
      <c r="O69" s="123">
        <f>SUM(M69*2200000)</f>
        <v>9402800</v>
      </c>
      <c r="P69" s="76">
        <f>SUM(N69-O69)</f>
        <v>1258917.25</v>
      </c>
    </row>
    <row r="70" spans="1:16" ht="15" thickBot="1" x14ac:dyDescent="0.35">
      <c r="A70" s="585"/>
      <c r="B70" s="586" t="s">
        <v>208</v>
      </c>
      <c r="C70" s="586"/>
      <c r="D70" s="587"/>
      <c r="E70" s="101">
        <f>SUM(E69)</f>
        <v>5.4740000000000002</v>
      </c>
      <c r="F70" s="101"/>
      <c r="G70" s="101"/>
      <c r="H70" s="101"/>
      <c r="I70" s="101">
        <f>SUM(I69)</f>
        <v>4.274</v>
      </c>
      <c r="J70" s="101"/>
      <c r="K70" s="102"/>
      <c r="L70" s="102"/>
      <c r="M70" s="101">
        <f>SUM(M69)</f>
        <v>4.274</v>
      </c>
      <c r="N70" s="103">
        <f>SUM(N69)</f>
        <v>10661717.25</v>
      </c>
      <c r="O70" s="126">
        <f>SUM(O69)</f>
        <v>9402800</v>
      </c>
      <c r="P70" s="104">
        <f>SUM(P69)</f>
        <v>1258917.25</v>
      </c>
    </row>
    <row r="71" spans="1:16" ht="36.6" thickBot="1" x14ac:dyDescent="0.35">
      <c r="A71" s="583" t="s">
        <v>388</v>
      </c>
      <c r="B71" s="91" t="s">
        <v>389</v>
      </c>
      <c r="C71" s="92" t="s">
        <v>390</v>
      </c>
      <c r="D71" s="133" t="s">
        <v>391</v>
      </c>
      <c r="E71" s="71">
        <v>5.0229999999999997</v>
      </c>
      <c r="F71" s="72"/>
      <c r="G71" s="72"/>
      <c r="H71" s="72"/>
      <c r="I71" s="72">
        <v>5.0229999999999997</v>
      </c>
      <c r="J71" s="72"/>
      <c r="K71" s="73" t="s">
        <v>202</v>
      </c>
      <c r="L71" s="73" t="s">
        <v>392</v>
      </c>
      <c r="M71" s="72">
        <v>5.0229999999999997</v>
      </c>
      <c r="N71" s="74">
        <v>13731158</v>
      </c>
      <c r="O71" s="123">
        <f>SUM(M71*2200000)</f>
        <v>11050600</v>
      </c>
      <c r="P71" s="76">
        <f>SUM(N71-O71)</f>
        <v>2680558</v>
      </c>
    </row>
    <row r="72" spans="1:16" ht="15" thickBot="1" x14ac:dyDescent="0.35">
      <c r="A72" s="585"/>
      <c r="B72" s="586" t="s">
        <v>208</v>
      </c>
      <c r="C72" s="586"/>
      <c r="D72" s="587"/>
      <c r="E72" s="179">
        <f>SUM(E71)</f>
        <v>5.0229999999999997</v>
      </c>
      <c r="F72" s="179"/>
      <c r="G72" s="179"/>
      <c r="H72" s="179"/>
      <c r="I72" s="179">
        <f>SUM(I71)</f>
        <v>5.0229999999999997</v>
      </c>
      <c r="J72" s="179"/>
      <c r="K72" s="180"/>
      <c r="L72" s="180"/>
      <c r="M72" s="179">
        <f>SUM(M71)</f>
        <v>5.0229999999999997</v>
      </c>
      <c r="N72" s="181">
        <f>SUM(N71)</f>
        <v>13731158</v>
      </c>
      <c r="O72" s="182">
        <f>SUM(O71)</f>
        <v>11050600</v>
      </c>
      <c r="P72" s="183">
        <f>SUM(P71)</f>
        <v>2680558</v>
      </c>
    </row>
    <row r="73" spans="1:16" ht="15" thickBot="1" x14ac:dyDescent="0.35">
      <c r="A73" s="602" t="s">
        <v>393</v>
      </c>
      <c r="B73" s="603"/>
      <c r="C73" s="603"/>
      <c r="D73" s="604"/>
      <c r="E73" s="184"/>
      <c r="F73" s="185"/>
      <c r="G73" s="186">
        <f>SUM(G45+G24+G13)</f>
        <v>11.938000000000001</v>
      </c>
      <c r="H73" s="185">
        <f>SUM(H61+H45+H36+H28+H24+H17+H13+H7)</f>
        <v>19.684000000000001</v>
      </c>
      <c r="I73" s="186">
        <f>SUM(I72+I70+I68+I65+I61+I52+I40+I36+I33+I28+I24+I20+I17)</f>
        <v>76.870999999999995</v>
      </c>
      <c r="J73" s="185">
        <f>SUM(J45+J17)</f>
        <v>5.9589999999999996</v>
      </c>
      <c r="K73" s="187"/>
      <c r="L73" s="188"/>
      <c r="M73" s="189">
        <f>SUM(M72+M70+M68+M65+M61+M52+M45+M40+M36+M33+M28+M24+M20+M17+M13+M7)</f>
        <v>167.73800000000003</v>
      </c>
      <c r="N73" s="190">
        <f>SUM(N72+N70+N68+N65+N61+N52+N45+N40+N36+N33+N28+N24+N20+N17+N13+N7)</f>
        <v>504634777.64999998</v>
      </c>
      <c r="O73" s="191">
        <f>SUM(O72+O70+O68+O65+O61+O52+O45+O40+O36+O33+O28+O24+O20+O17+O13+O7)</f>
        <v>257078200</v>
      </c>
      <c r="P73" s="192">
        <f>SUM(N73-O73)</f>
        <v>247556577.64999998</v>
      </c>
    </row>
    <row r="74" spans="1:16" x14ac:dyDescent="0.3">
      <c r="A74" s="193"/>
      <c r="B74" s="193"/>
      <c r="C74" s="193"/>
      <c r="D74" s="193"/>
      <c r="E74" s="194"/>
      <c r="F74" s="195"/>
      <c r="G74" s="195"/>
      <c r="H74" s="195"/>
      <c r="I74" s="195"/>
      <c r="J74" s="195"/>
      <c r="K74" s="196"/>
      <c r="L74" s="196"/>
      <c r="M74" s="195"/>
      <c r="N74" s="197"/>
      <c r="O74" s="197">
        <f>O71+O69+O67+O66+O63+O62+O55+O54+O53+O47+O46+O44+O42+O41+O39+O38+O37+O35+O34+O30+O29+O27+O26+O25+O22+O21+O16+O15+O10+O9+O8+O6+O5+O19</f>
        <v>257078200</v>
      </c>
      <c r="P74" s="197"/>
    </row>
    <row r="75" spans="1:16" x14ac:dyDescent="0.3">
      <c r="A75" s="193"/>
      <c r="B75" s="193"/>
      <c r="C75" s="193"/>
      <c r="D75" s="193"/>
      <c r="E75" s="194"/>
      <c r="F75" s="195"/>
      <c r="G75" s="195"/>
      <c r="H75" s="195"/>
      <c r="I75" s="195"/>
      <c r="J75" s="195"/>
      <c r="K75" s="196"/>
      <c r="L75" s="198"/>
      <c r="M75" s="195"/>
      <c r="N75" s="197">
        <f>'[1]Остали корисници пријава '!S382</f>
        <v>0</v>
      </c>
      <c r="O75" s="197">
        <f>O72+O70+O68+O65+O61+O52+O45+O40+O36+O33+O28+O24+O20+O17+O13+O7</f>
        <v>257078200</v>
      </c>
      <c r="P75" s="197"/>
    </row>
    <row r="76" spans="1:16" x14ac:dyDescent="0.3">
      <c r="A76" s="193"/>
      <c r="B76" s="193"/>
      <c r="C76" s="193"/>
      <c r="D76" s="193"/>
      <c r="E76" s="194"/>
      <c r="F76" s="195"/>
      <c r="G76" s="195"/>
      <c r="H76" s="195"/>
      <c r="I76" s="195"/>
      <c r="J76" s="195"/>
      <c r="K76" s="196"/>
      <c r="L76" s="196"/>
      <c r="M76" s="195"/>
      <c r="N76" s="197"/>
      <c r="O76" s="197">
        <f>'[1]mostovi sa rekapitulacijom'!H28</f>
        <v>0</v>
      </c>
      <c r="P76" s="197"/>
    </row>
    <row r="77" spans="1:16" x14ac:dyDescent="0.3">
      <c r="A77" s="199"/>
      <c r="B77" s="199"/>
      <c r="C77" s="199"/>
      <c r="D77" s="200"/>
      <c r="E77" s="199"/>
      <c r="F77" s="199"/>
      <c r="G77" s="199"/>
      <c r="H77" s="199"/>
      <c r="I77" s="199"/>
      <c r="J77" s="199"/>
      <c r="K77" s="199"/>
      <c r="L77" s="199"/>
      <c r="M77" s="199"/>
      <c r="N77" s="201">
        <f>P77-O77</f>
        <v>-257078200</v>
      </c>
      <c r="O77" s="2">
        <f>SUM(O75:O76)</f>
        <v>257078200</v>
      </c>
      <c r="P77" s="362"/>
    </row>
    <row r="78" spans="1:16" ht="15" thickBot="1" x14ac:dyDescent="0.35">
      <c r="A78" s="199"/>
      <c r="B78" s="199"/>
      <c r="C78" s="199"/>
      <c r="D78" s="200"/>
      <c r="E78" s="199"/>
      <c r="F78" s="199"/>
      <c r="G78" s="199"/>
      <c r="H78" s="199"/>
      <c r="I78" s="199"/>
      <c r="J78" s="199"/>
      <c r="M78" s="595" t="s">
        <v>394</v>
      </c>
      <c r="N78" s="595"/>
    </row>
    <row r="79" spans="1:16" ht="15" thickBot="1" x14ac:dyDescent="0.35">
      <c r="A79" s="199"/>
      <c r="B79" s="199"/>
      <c r="C79" s="199"/>
      <c r="D79" s="200"/>
      <c r="E79" s="199"/>
      <c r="F79" s="199"/>
      <c r="G79" s="199"/>
      <c r="H79" s="199"/>
      <c r="I79" s="199"/>
      <c r="J79" s="199"/>
      <c r="K79" s="596" t="s">
        <v>395</v>
      </c>
      <c r="L79" s="597"/>
      <c r="M79" s="202" t="s">
        <v>15</v>
      </c>
      <c r="N79" s="202" t="s">
        <v>396</v>
      </c>
      <c r="O79" s="203" t="s">
        <v>19</v>
      </c>
    </row>
    <row r="80" spans="1:16" x14ac:dyDescent="0.3">
      <c r="A80" s="199"/>
      <c r="B80" s="199"/>
      <c r="C80" s="199"/>
      <c r="D80" s="200"/>
      <c r="E80" s="199"/>
      <c r="F80" s="199"/>
      <c r="G80" s="199"/>
      <c r="H80" s="199"/>
      <c r="I80" s="199"/>
      <c r="J80" s="199"/>
      <c r="K80" s="598" t="s">
        <v>397</v>
      </c>
      <c r="L80" s="599"/>
      <c r="M80" s="204">
        <v>0</v>
      </c>
      <c r="N80" s="205">
        <v>1300000</v>
      </c>
      <c r="O80" s="206">
        <f>SUM(M80*N80)</f>
        <v>0</v>
      </c>
    </row>
    <row r="81" spans="1:16" x14ac:dyDescent="0.3">
      <c r="A81" s="199"/>
      <c r="B81" s="199"/>
      <c r="C81" s="199"/>
      <c r="D81" s="200"/>
      <c r="E81" s="199"/>
      <c r="F81" s="199"/>
      <c r="G81" s="199"/>
      <c r="H81" s="199"/>
      <c r="I81" s="199"/>
      <c r="J81" s="199"/>
      <c r="K81" s="605" t="s">
        <v>398</v>
      </c>
      <c r="L81" s="606"/>
      <c r="M81" s="207">
        <f>G73</f>
        <v>11.938000000000001</v>
      </c>
      <c r="N81" s="208">
        <v>1500000</v>
      </c>
      <c r="O81" s="209">
        <f>SUM(M81*N81)</f>
        <v>17907000</v>
      </c>
    </row>
    <row r="82" spans="1:16" x14ac:dyDescent="0.3">
      <c r="A82" s="199"/>
      <c r="B82" s="199"/>
      <c r="C82" s="199"/>
      <c r="D82" s="210"/>
      <c r="E82" s="199"/>
      <c r="F82" s="199"/>
      <c r="G82" s="199"/>
      <c r="H82" s="199"/>
      <c r="I82" s="199"/>
      <c r="J82" s="199"/>
      <c r="K82" s="605" t="s">
        <v>399</v>
      </c>
      <c r="L82" s="606"/>
      <c r="M82" s="207">
        <f>H73</f>
        <v>19.684000000000001</v>
      </c>
      <c r="N82" s="208">
        <v>2800000</v>
      </c>
      <c r="O82" s="209">
        <f>SUM(M82*N82)</f>
        <v>55115200</v>
      </c>
    </row>
    <row r="83" spans="1:16" x14ac:dyDescent="0.3">
      <c r="A83" s="199"/>
      <c r="B83" s="199"/>
      <c r="C83" s="199"/>
      <c r="D83" s="210"/>
      <c r="E83" s="199"/>
      <c r="F83" s="199"/>
      <c r="G83" s="199"/>
      <c r="H83" s="199"/>
      <c r="I83" s="199"/>
      <c r="J83" s="199"/>
      <c r="K83" s="605" t="s">
        <v>400</v>
      </c>
      <c r="L83" s="606"/>
      <c r="M83" s="211">
        <f>I73</f>
        <v>76.870999999999995</v>
      </c>
      <c r="N83" s="212">
        <v>2200000</v>
      </c>
      <c r="O83" s="213">
        <f>SUM(M83*N83)</f>
        <v>169116200</v>
      </c>
    </row>
    <row r="84" spans="1:16" x14ac:dyDescent="0.3">
      <c r="A84" s="199"/>
      <c r="B84" s="199"/>
      <c r="C84" s="199"/>
      <c r="D84" s="210"/>
      <c r="E84" s="199"/>
      <c r="F84" s="199"/>
      <c r="G84" s="199"/>
      <c r="H84" s="199"/>
      <c r="I84" s="199"/>
      <c r="J84" s="199"/>
      <c r="K84" s="605" t="s">
        <v>401</v>
      </c>
      <c r="L84" s="606"/>
      <c r="M84" s="211">
        <f>J73</f>
        <v>5.9589999999999996</v>
      </c>
      <c r="N84" s="208">
        <v>2800000</v>
      </c>
      <c r="O84" s="213">
        <f>SUM(O44+O15)</f>
        <v>14939800</v>
      </c>
    </row>
    <row r="85" spans="1:16" x14ac:dyDescent="0.3">
      <c r="A85" s="199"/>
      <c r="B85" s="199"/>
      <c r="C85" s="199"/>
      <c r="D85" s="210"/>
      <c r="E85" s="199"/>
      <c r="F85" s="199"/>
      <c r="G85" s="199"/>
      <c r="H85" s="199"/>
      <c r="I85" s="199"/>
      <c r="J85" s="199"/>
      <c r="K85" s="605" t="s">
        <v>402</v>
      </c>
      <c r="L85" s="606"/>
      <c r="M85" s="211">
        <f>SUM(M80:M84)</f>
        <v>114.452</v>
      </c>
      <c r="N85" s="208"/>
      <c r="O85" s="214">
        <f>SUM(O80:O84)</f>
        <v>257078200</v>
      </c>
      <c r="P85" s="483"/>
    </row>
    <row r="86" spans="1:16" ht="15" thickBot="1" x14ac:dyDescent="0.35">
      <c r="A86" s="199"/>
      <c r="B86" s="199"/>
      <c r="C86" s="199"/>
      <c r="D86" s="210"/>
      <c r="E86" s="199"/>
      <c r="F86" s="199"/>
      <c r="G86" s="199"/>
      <c r="H86" s="199"/>
      <c r="I86" s="199"/>
      <c r="J86" s="199"/>
      <c r="K86" s="600" t="s">
        <v>403</v>
      </c>
      <c r="L86" s="601"/>
      <c r="M86" s="480">
        <v>4.7350000000000003E-2</v>
      </c>
      <c r="N86" s="481">
        <v>6675500</v>
      </c>
      <c r="O86" s="214">
        <f>N86</f>
        <v>6675500</v>
      </c>
      <c r="P86" s="483"/>
    </row>
    <row r="87" spans="1:16" x14ac:dyDescent="0.3">
      <c r="D87" s="61"/>
      <c r="O87" s="482">
        <f>SUM(O85:O86)</f>
        <v>263753700</v>
      </c>
    </row>
    <row r="88" spans="1:16" x14ac:dyDescent="0.3">
      <c r="D88" s="61"/>
    </row>
  </sheetData>
  <mergeCells count="57">
    <mergeCell ref="K86:L86"/>
    <mergeCell ref="A73:D73"/>
    <mergeCell ref="K81:L81"/>
    <mergeCell ref="K82:L82"/>
    <mergeCell ref="K83:L83"/>
    <mergeCell ref="K84:L84"/>
    <mergeCell ref="K85:L85"/>
    <mergeCell ref="A71:A72"/>
    <mergeCell ref="B72:D72"/>
    <mergeCell ref="M78:N78"/>
    <mergeCell ref="K79:L79"/>
    <mergeCell ref="K80:L80"/>
    <mergeCell ref="A62:A65"/>
    <mergeCell ref="B65:D65"/>
    <mergeCell ref="A66:A68"/>
    <mergeCell ref="B68:D68"/>
    <mergeCell ref="A69:A70"/>
    <mergeCell ref="B70:D70"/>
    <mergeCell ref="A41:A45"/>
    <mergeCell ref="B45:D45"/>
    <mergeCell ref="A46:A52"/>
    <mergeCell ref="B52:D52"/>
    <mergeCell ref="A53:A61"/>
    <mergeCell ref="B61:D61"/>
    <mergeCell ref="A29:A33"/>
    <mergeCell ref="B33:D33"/>
    <mergeCell ref="A34:A36"/>
    <mergeCell ref="B36:D36"/>
    <mergeCell ref="A37:A40"/>
    <mergeCell ref="B40:D40"/>
    <mergeCell ref="A18:A20"/>
    <mergeCell ref="B20:D20"/>
    <mergeCell ref="A21:A24"/>
    <mergeCell ref="B24:D24"/>
    <mergeCell ref="A25:A28"/>
    <mergeCell ref="B28:D28"/>
    <mergeCell ref="A8:A13"/>
    <mergeCell ref="B13:D13"/>
    <mergeCell ref="A14:A17"/>
    <mergeCell ref="B17:D17"/>
    <mergeCell ref="A5:A7"/>
    <mergeCell ref="B7:D7"/>
    <mergeCell ref="A1:P1"/>
    <mergeCell ref="A2:A4"/>
    <mergeCell ref="B2:B4"/>
    <mergeCell ref="C2:C4"/>
    <mergeCell ref="D2:D4"/>
    <mergeCell ref="F2:H2"/>
    <mergeCell ref="I2:I4"/>
    <mergeCell ref="J2:J4"/>
    <mergeCell ref="K2:L3"/>
    <mergeCell ref="M2:M3"/>
    <mergeCell ref="N2:P2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Ostali korisnici </vt:lpstr>
      <vt:lpstr>SRBIJAŠUME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Ljiljana Sovilj</cp:lastModifiedBy>
  <dcterms:created xsi:type="dcterms:W3CDTF">2019-05-15T07:52:54Z</dcterms:created>
  <dcterms:modified xsi:type="dcterms:W3CDTF">2019-06-19T11:04:11Z</dcterms:modified>
</cp:coreProperties>
</file>